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site-EN\PC Tool\"/>
    </mc:Choice>
  </mc:AlternateContent>
  <xr:revisionPtr revIDLastSave="0" documentId="13_ncr:1_{E3329517-DA85-4262-950E-67904074DFD3}" xr6:coauthVersionLast="47" xr6:coauthVersionMax="47" xr10:uidLastSave="{00000000-0000-0000-0000-000000000000}"/>
  <bookViews>
    <workbookView xWindow="4965" yWindow="1545" windowWidth="21600" windowHeight="11295" xr2:uid="{00000000-000D-0000-FFFF-FFFF00000000}"/>
  </bookViews>
  <sheets>
    <sheet name="Regular Overlap" sheetId="1" r:id="rId1"/>
    <sheet name="Irregular Overlap" sheetId="2" r:id="rId2"/>
  </sheets>
  <calcPr calcId="181029"/>
  <customWorkbookViews>
    <customWorkbookView name="EDI - 個人檢視畫面" guid="{3242F372-74DC-44C7-A174-A49010CD9191}" mergeInterval="0" personalView="1" maximized="1" windowWidth="1276" windowHeight="785" activeSheetId="1"/>
  </customWorkbookViews>
</workbook>
</file>

<file path=xl/calcChain.xml><?xml version="1.0" encoding="utf-8"?>
<calcChain xmlns="http://schemas.openxmlformats.org/spreadsheetml/2006/main">
  <c r="K5" i="1" l="1"/>
  <c r="L3" i="2"/>
  <c r="H3" i="1"/>
  <c r="C6" i="1" s="1"/>
  <c r="AH16" i="2"/>
  <c r="D12" i="2"/>
  <c r="E28" i="2"/>
  <c r="D16" i="1"/>
  <c r="AH1" i="2"/>
  <c r="K7" i="2"/>
  <c r="C21" i="2"/>
  <c r="C26" i="2"/>
  <c r="G28" i="2"/>
  <c r="K28" i="2"/>
  <c r="M28" i="2"/>
  <c r="O28" i="2"/>
  <c r="Q28" i="2"/>
  <c r="S28" i="2"/>
  <c r="U28" i="2"/>
  <c r="W28" i="2"/>
  <c r="Y28" i="2"/>
  <c r="AA28" i="2"/>
  <c r="AC28" i="2"/>
  <c r="AE28" i="2"/>
  <c r="AG28" i="2"/>
  <c r="G7" i="1"/>
  <c r="C12" i="1"/>
  <c r="N23" i="1"/>
  <c r="P22" i="1"/>
  <c r="C13" i="1"/>
  <c r="P28" i="1" s="1"/>
  <c r="K28" i="1"/>
  <c r="D21" i="1"/>
  <c r="G21" i="1"/>
  <c r="D26" i="1"/>
  <c r="G26" i="1"/>
  <c r="G31" i="1"/>
  <c r="E32" i="1"/>
  <c r="H32" i="1" s="1"/>
  <c r="F32" i="1"/>
  <c r="G32" i="1" s="1"/>
  <c r="E33" i="1"/>
  <c r="H33" i="1" s="1"/>
  <c r="F33" i="1"/>
  <c r="G33" i="1" s="1"/>
  <c r="E34" i="1"/>
  <c r="H34" i="1"/>
  <c r="N27" i="1"/>
  <c r="S28" i="1"/>
  <c r="K27" i="1"/>
  <c r="M28" i="1"/>
  <c r="Q28" i="1"/>
  <c r="N28" i="1"/>
  <c r="G34" i="1"/>
  <c r="J34" i="1" s="1"/>
  <c r="F28" i="1"/>
  <c r="G28" i="1" s="1"/>
  <c r="M27" i="1"/>
  <c r="T27" i="1"/>
  <c r="R7" i="2"/>
  <c r="O22" i="1"/>
  <c r="Q23" i="1"/>
  <c r="T22" i="1"/>
  <c r="R22" i="1"/>
  <c r="K22" i="1"/>
  <c r="J22" i="1"/>
  <c r="J23" i="1"/>
  <c r="L22" i="1"/>
  <c r="K23" i="1"/>
  <c r="M22" i="1"/>
  <c r="S22" i="1"/>
  <c r="T23" i="1"/>
  <c r="H22" i="1"/>
  <c r="M23" i="1"/>
  <c r="L23" i="1"/>
  <c r="R23" i="1"/>
  <c r="P23" i="1"/>
  <c r="N22" i="1"/>
  <c r="Q22" i="1"/>
  <c r="H23" i="1"/>
  <c r="O23" i="1"/>
  <c r="S23" i="1"/>
  <c r="F27" i="1"/>
  <c r="G27" i="1" s="1"/>
  <c r="R27" i="1"/>
  <c r="S27" i="1" l="1"/>
  <c r="P27" i="1"/>
  <c r="J28" i="1"/>
  <c r="O28" i="1"/>
  <c r="H28" i="1"/>
  <c r="L28" i="1"/>
  <c r="L27" i="1"/>
  <c r="O27" i="1"/>
  <c r="Q27" i="1"/>
  <c r="T28" i="1"/>
  <c r="J27" i="1"/>
  <c r="R28" i="1"/>
  <c r="H27" i="1"/>
  <c r="J33" i="1"/>
  <c r="J32" i="1"/>
  <c r="J6" i="2"/>
  <c r="R8" i="2" s="1"/>
  <c r="U17" i="2"/>
  <c r="W16" i="2"/>
  <c r="AC17" i="2"/>
  <c r="AE17" i="2"/>
  <c r="AB16" i="2"/>
  <c r="J16" i="2"/>
  <c r="C6" i="2"/>
  <c r="X4" i="2" s="1"/>
  <c r="AF16" i="2"/>
  <c r="T17" i="2"/>
  <c r="C7" i="2"/>
  <c r="X5" i="2" s="1"/>
  <c r="M16" i="2"/>
  <c r="C5" i="2"/>
  <c r="J5" i="2"/>
  <c r="W17" i="2"/>
  <c r="X16" i="2"/>
  <c r="AA16" i="2"/>
  <c r="AG17" i="2"/>
  <c r="E16" i="2"/>
  <c r="G16" i="2"/>
  <c r="J7" i="2"/>
  <c r="C7" i="1"/>
  <c r="M9" i="1" s="1"/>
  <c r="F5" i="1"/>
  <c r="AH17" i="2"/>
  <c r="C34" i="1"/>
  <c r="S16" i="2"/>
  <c r="AC16" i="2"/>
  <c r="C33" i="1"/>
  <c r="AD16" i="2"/>
  <c r="F6" i="1"/>
  <c r="M5" i="1" s="1"/>
  <c r="T16" i="2"/>
  <c r="C32" i="1"/>
  <c r="O16" i="2"/>
  <c r="X17" i="2"/>
  <c r="C9" i="1"/>
  <c r="E9" i="1" s="1"/>
  <c r="AB17" i="2"/>
  <c r="J4" i="2"/>
  <c r="R4" i="2" s="1"/>
  <c r="AF17" i="2"/>
  <c r="AD17" i="2"/>
  <c r="J17" i="2"/>
  <c r="Q17" i="2"/>
  <c r="Z17" i="2"/>
  <c r="U16" i="2"/>
  <c r="C4" i="2"/>
  <c r="R17" i="2"/>
  <c r="M17" i="2"/>
  <c r="Z16" i="2"/>
  <c r="E17" i="2"/>
  <c r="Y17" i="2"/>
  <c r="C8" i="2"/>
  <c r="AG16" i="2"/>
  <c r="H16" i="2"/>
  <c r="P16" i="2"/>
  <c r="C5" i="1"/>
  <c r="Y16" i="2"/>
  <c r="F4" i="1"/>
  <c r="C10" i="1"/>
  <c r="F16" i="2"/>
  <c r="Q16" i="2"/>
  <c r="R16" i="2"/>
  <c r="C9" i="2"/>
  <c r="P17" i="2"/>
  <c r="C4" i="1"/>
  <c r="H17" i="2"/>
  <c r="S17" i="2"/>
  <c r="O17" i="2"/>
  <c r="F7" i="1"/>
  <c r="V16" i="2"/>
  <c r="AA17" i="2"/>
  <c r="AE16" i="2"/>
  <c r="V17" i="2"/>
  <c r="F17" i="2"/>
  <c r="N16" i="2"/>
  <c r="G17" i="2"/>
  <c r="N17" i="2"/>
  <c r="C17" i="1" l="1"/>
  <c r="C23" i="1" s="1"/>
  <c r="D23" i="1" s="1"/>
  <c r="C15" i="1"/>
  <c r="D15" i="1" s="1"/>
  <c r="C12" i="2"/>
  <c r="C27" i="2" s="1"/>
  <c r="C11" i="2"/>
  <c r="D11" i="2" s="1"/>
  <c r="R6" i="2" s="1"/>
  <c r="X6" i="2" s="1"/>
  <c r="AD22" i="2"/>
  <c r="AH21" i="2"/>
  <c r="V21" i="2"/>
  <c r="AH22" i="2"/>
  <c r="X21" i="2"/>
  <c r="V22" i="2"/>
  <c r="N21" i="2"/>
  <c r="R22" i="2"/>
  <c r="AB22" i="2"/>
  <c r="AD21" i="2"/>
  <c r="AF21" i="2"/>
  <c r="P21" i="2"/>
  <c r="R21" i="2"/>
  <c r="T22" i="2"/>
  <c r="Z22" i="2"/>
  <c r="T21" i="2"/>
  <c r="Z21" i="2"/>
  <c r="L22" i="2"/>
  <c r="AF22" i="2"/>
  <c r="L21" i="2"/>
  <c r="H22" i="2"/>
  <c r="X22" i="2"/>
  <c r="AB21" i="2"/>
  <c r="N22" i="2"/>
  <c r="P22" i="2"/>
  <c r="E10" i="1"/>
  <c r="C16" i="1"/>
  <c r="Z26" i="2"/>
  <c r="AD27" i="2"/>
  <c r="N26" i="2"/>
  <c r="L27" i="2"/>
  <c r="AH27" i="2"/>
  <c r="AB27" i="2"/>
  <c r="Z27" i="2"/>
  <c r="V26" i="2"/>
  <c r="X27" i="2"/>
  <c r="N27" i="2"/>
  <c r="V27" i="2"/>
  <c r="AH26" i="2"/>
  <c r="H26" i="2"/>
  <c r="AB26" i="2"/>
  <c r="P26" i="2"/>
  <c r="R26" i="2"/>
  <c r="F27" i="2"/>
  <c r="T27" i="2"/>
  <c r="F26" i="2"/>
  <c r="AF26" i="2"/>
  <c r="L26" i="2"/>
  <c r="AF27" i="2"/>
  <c r="T26" i="2"/>
  <c r="X26" i="2"/>
  <c r="H27" i="2"/>
  <c r="AD26" i="2"/>
  <c r="R27" i="2"/>
  <c r="P27" i="2"/>
  <c r="C18" i="1"/>
  <c r="E28" i="1" l="1"/>
  <c r="E27" i="1"/>
  <c r="E23" i="1"/>
  <c r="E22" i="1"/>
  <c r="F23" i="1"/>
  <c r="G23" i="1" s="1"/>
  <c r="D17" i="1"/>
  <c r="C22" i="1"/>
  <c r="D22" i="1" s="1"/>
  <c r="F22" i="1"/>
  <c r="G22" i="1" s="1"/>
  <c r="H21" i="2"/>
  <c r="F22" i="2"/>
  <c r="F21" i="2"/>
  <c r="C22" i="2"/>
  <c r="X9" i="2"/>
  <c r="R5" i="2"/>
  <c r="C27" i="1"/>
  <c r="D27" i="1" s="1"/>
  <c r="C28" i="1"/>
  <c r="D28" i="1" s="1"/>
  <c r="D18" i="1"/>
  <c r="M10" i="1"/>
  <c r="K6" i="1"/>
  <c r="O6" i="1" s="1"/>
  <c r="E23" i="2"/>
  <c r="Q23" i="2"/>
  <c r="AA23" i="2"/>
  <c r="M23" i="2"/>
  <c r="Y23" i="2"/>
  <c r="AE23" i="2"/>
  <c r="K23" i="2"/>
  <c r="O23" i="2"/>
  <c r="G23" i="2"/>
  <c r="X10" i="2"/>
  <c r="T10" i="2"/>
  <c r="AG23" i="2"/>
  <c r="W23" i="2"/>
  <c r="U23" i="2"/>
  <c r="S23" i="2"/>
  <c r="AC23" i="2"/>
  <c r="X7" i="2"/>
  <c r="R9" i="2" s="1"/>
  <c r="K10" i="1" l="1"/>
  <c r="O5" i="1"/>
  <c r="K9" i="1" l="1"/>
  <c r="O10" i="1"/>
  <c r="N10" i="1"/>
  <c r="M6" i="1"/>
</calcChain>
</file>

<file path=xl/sharedStrings.xml><?xml version="1.0" encoding="utf-8"?>
<sst xmlns="http://schemas.openxmlformats.org/spreadsheetml/2006/main" count="177" uniqueCount="159">
  <si>
    <t>10%~25%</t>
    <phoneticPr fontId="2" type="noConversion"/>
  </si>
  <si>
    <t>15%~30%</t>
    <phoneticPr fontId="2" type="noConversion"/>
  </si>
  <si>
    <t>Overlap %</t>
    <phoneticPr fontId="2" type="noConversion"/>
  </si>
  <si>
    <t>Recommended</t>
    <phoneticPr fontId="2" type="noConversion"/>
  </si>
  <si>
    <t>Overlap pixel (H)</t>
    <phoneticPr fontId="2" type="noConversion"/>
  </si>
  <si>
    <t>Overlap pixel (V)</t>
    <phoneticPr fontId="2" type="noConversion"/>
  </si>
  <si>
    <t>Final output resolution</t>
    <phoneticPr fontId="2" type="noConversion"/>
  </si>
  <si>
    <t>Extended pixel (H)</t>
    <phoneticPr fontId="2" type="noConversion"/>
  </si>
  <si>
    <t>Extended pixel (V)</t>
    <phoneticPr fontId="2" type="noConversion"/>
  </si>
  <si>
    <t>Video wall setting value</t>
    <phoneticPr fontId="2" type="noConversion"/>
  </si>
  <si>
    <t>Screen size calculation</t>
    <phoneticPr fontId="2" type="noConversion"/>
  </si>
  <si>
    <t>Type</t>
    <phoneticPr fontId="2" type="noConversion"/>
  </si>
  <si>
    <t>16:9 screen</t>
    <phoneticPr fontId="2" type="noConversion"/>
  </si>
  <si>
    <t>4:3 screen</t>
    <phoneticPr fontId="2" type="noConversion"/>
  </si>
  <si>
    <t>Size (inch)</t>
    <phoneticPr fontId="2" type="noConversion"/>
  </si>
  <si>
    <t>Width (inch)</t>
    <phoneticPr fontId="2" type="noConversion"/>
  </si>
  <si>
    <t>Height (inch)</t>
    <phoneticPr fontId="2" type="noConversion"/>
  </si>
  <si>
    <t>Width</t>
    <phoneticPr fontId="2" type="noConversion"/>
  </si>
  <si>
    <t>Height</t>
    <phoneticPr fontId="2" type="noConversion"/>
  </si>
  <si>
    <t>Overlap region size</t>
    <phoneticPr fontId="2" type="noConversion"/>
  </si>
  <si>
    <t>Projector</t>
    <phoneticPr fontId="2" type="noConversion"/>
  </si>
  <si>
    <t>* Final brightness of the screen needs to multiple gain value of the screen.</t>
    <phoneticPr fontId="2" type="noConversion"/>
  </si>
  <si>
    <t>Final result checking list (meter)</t>
    <phoneticPr fontId="2" type="noConversion"/>
  </si>
  <si>
    <t>Final Illumin</t>
    <phoneticPr fontId="2" type="noConversion"/>
  </si>
  <si>
    <t>Width (m)</t>
    <phoneticPr fontId="2" type="noConversion"/>
  </si>
  <si>
    <t>Height (m)</t>
    <phoneticPr fontId="2" type="noConversion"/>
  </si>
  <si>
    <t>PJT 2</t>
  </si>
  <si>
    <t>PJT 3</t>
  </si>
  <si>
    <t>PJT 4</t>
  </si>
  <si>
    <t>PJT 5</t>
  </si>
  <si>
    <t>PJT 7</t>
  </si>
  <si>
    <t>PJT 8</t>
  </si>
  <si>
    <t>PJT 9</t>
  </si>
  <si>
    <t>PJT 10</t>
  </si>
  <si>
    <t>PJT 12</t>
  </si>
  <si>
    <t>Width (m)</t>
    <phoneticPr fontId="2" type="noConversion"/>
  </si>
  <si>
    <t>Height (m)</t>
    <phoneticPr fontId="2" type="noConversion"/>
  </si>
  <si>
    <t>Screen width</t>
    <phoneticPr fontId="2" type="noConversion"/>
  </si>
  <si>
    <t>Screen height</t>
    <phoneticPr fontId="2" type="noConversion"/>
  </si>
  <si>
    <t>(m)</t>
    <phoneticPr fontId="2" type="noConversion"/>
  </si>
  <si>
    <t>(m)</t>
    <phoneticPr fontId="2" type="noConversion"/>
  </si>
  <si>
    <t>(required)</t>
    <phoneticPr fontId="2" type="noConversion"/>
  </si>
  <si>
    <t>(Lum)</t>
    <phoneticPr fontId="2" type="noConversion"/>
  </si>
  <si>
    <t>Project plan with multiple projector edge blending using AF5D</t>
    <phoneticPr fontId="2" type="noConversion"/>
  </si>
  <si>
    <t>PJT 1</t>
    <phoneticPr fontId="2" type="noConversion"/>
  </si>
  <si>
    <t>PJT 13</t>
  </si>
  <si>
    <t>PJT 14</t>
  </si>
  <si>
    <t>PJT 15</t>
  </si>
  <si>
    <t>PJT native Res. (H)</t>
    <phoneticPr fontId="2" type="noConversion"/>
  </si>
  <si>
    <t>Horizontal resolution</t>
    <phoneticPr fontId="2" type="noConversion"/>
  </si>
  <si>
    <t>Vertical resolution</t>
    <phoneticPr fontId="2" type="noConversion"/>
  </si>
  <si>
    <t>Horiz. (m)</t>
    <phoneticPr fontId="2" type="noConversion"/>
  </si>
  <si>
    <t>Vertic. (m)</t>
    <phoneticPr fontId="2" type="noConversion"/>
  </si>
  <si>
    <t>Final result</t>
    <phoneticPr fontId="2" type="noConversion"/>
  </si>
  <si>
    <t>Final result checking list (PJT: Projector)</t>
    <phoneticPr fontId="2" type="noConversion"/>
  </si>
  <si>
    <t>Project basic data (To check data in OSD [Information])</t>
    <phoneticPr fontId="2" type="noConversion"/>
  </si>
  <si>
    <t>Screen Width (m)</t>
    <phoneticPr fontId="2" type="noConversion"/>
  </si>
  <si>
    <t>PJT native Res. (V)</t>
    <phoneticPr fontId="2" type="noConversion"/>
  </si>
  <si>
    <t>1~2</t>
    <phoneticPr fontId="2" type="noConversion"/>
  </si>
  <si>
    <t>2~3</t>
    <phoneticPr fontId="2" type="noConversion"/>
  </si>
  <si>
    <t>3~4</t>
    <phoneticPr fontId="2" type="noConversion"/>
  </si>
  <si>
    <t>4~5</t>
    <phoneticPr fontId="2" type="noConversion"/>
  </si>
  <si>
    <t>5~6</t>
    <phoneticPr fontId="2" type="noConversion"/>
  </si>
  <si>
    <t>6~7</t>
    <phoneticPr fontId="2" type="noConversion"/>
  </si>
  <si>
    <t>7~8</t>
    <phoneticPr fontId="2" type="noConversion"/>
  </si>
  <si>
    <t>8~9</t>
    <phoneticPr fontId="2" type="noConversion"/>
  </si>
  <si>
    <t>9~10</t>
    <phoneticPr fontId="2" type="noConversion"/>
  </si>
  <si>
    <t>10~11</t>
    <phoneticPr fontId="2" type="noConversion"/>
  </si>
  <si>
    <t>11~12</t>
    <phoneticPr fontId="2" type="noConversion"/>
  </si>
  <si>
    <t>12~13</t>
    <phoneticPr fontId="2" type="noConversion"/>
  </si>
  <si>
    <t>13~14</t>
    <phoneticPr fontId="2" type="noConversion"/>
  </si>
  <si>
    <t>14~15</t>
    <phoneticPr fontId="2" type="noConversion"/>
  </si>
  <si>
    <t>Final image height (m)</t>
    <phoneticPr fontId="2" type="noConversion"/>
  </si>
  <si>
    <t>Final image width (m)</t>
    <phoneticPr fontId="2" type="noConversion"/>
  </si>
  <si>
    <t>Single PJT image (V) (m)</t>
    <phoneticPr fontId="2" type="noConversion"/>
  </si>
  <si>
    <t>Qty of projector (H)</t>
    <phoneticPr fontId="2" type="noConversion"/>
  </si>
  <si>
    <t>Qty of projector (V)</t>
    <phoneticPr fontId="2" type="noConversion"/>
  </si>
  <si>
    <t xml:space="preserve"> </t>
    <phoneticPr fontId="2" type="noConversion"/>
  </si>
  <si>
    <t>PJT 6</t>
    <phoneticPr fontId="2" type="noConversion"/>
  </si>
  <si>
    <t>PJT 11</t>
    <phoneticPr fontId="2" type="noConversion"/>
  </si>
  <si>
    <t>Screen Height (m)</t>
    <phoneticPr fontId="2" type="noConversion"/>
  </si>
  <si>
    <t>Case study: How to determine installation positions for the proejctors in edge blending</t>
    <phoneticPr fontId="2" type="noConversion"/>
  </si>
  <si>
    <t>Project basic data</t>
    <phoneticPr fontId="2" type="noConversion"/>
  </si>
  <si>
    <t xml:space="preserve">   room, 1000-1500 Lux for trade show. 3D: 500 Lux (single projector)</t>
    <phoneticPr fontId="2" type="noConversion"/>
  </si>
  <si>
    <t>* Theater: 172 Lux (16 foot-lamberts), SMTP display standard: 377 Lux</t>
    <phoneticPr fontId="2" type="noConversion"/>
  </si>
  <si>
    <t>25%~40%</t>
    <phoneticPr fontId="2" type="noConversion"/>
  </si>
  <si>
    <t>20%~40%</t>
    <phoneticPr fontId="2" type="noConversion"/>
  </si>
  <si>
    <t>Project plan for multiple projector edge blending (irregular overlap area)</t>
    <phoneticPr fontId="2" type="noConversion"/>
  </si>
  <si>
    <t>Project plan for multiple projector edge blending</t>
    <phoneticPr fontId="2" type="noConversion"/>
  </si>
  <si>
    <t>Projector lumen</t>
    <phoneticPr fontId="2" type="noConversion"/>
  </si>
  <si>
    <t>PJT lumen</t>
    <phoneticPr fontId="2" type="noConversion"/>
  </si>
  <si>
    <t>PJT lumens (Lum)</t>
    <phoneticPr fontId="2" type="noConversion"/>
  </si>
  <si>
    <t>Projector throw distance</t>
    <phoneticPr fontId="2" type="noConversion"/>
  </si>
  <si>
    <t>16:10 Screen</t>
    <phoneticPr fontId="2" type="noConversion"/>
  </si>
  <si>
    <t>Min (m)</t>
    <phoneticPr fontId="2" type="noConversion"/>
  </si>
  <si>
    <t>Max (m)</t>
    <phoneticPr fontId="2" type="noConversion"/>
  </si>
  <si>
    <t>Overlap size in H (cm)</t>
    <phoneticPr fontId="2" type="noConversion"/>
  </si>
  <si>
    <t>Overlap size in V (cm)</t>
    <phoneticPr fontId="2" type="noConversion"/>
  </si>
  <si>
    <t>Overlap pixels (32 pixels per grid in G-602 and 50 pixels in other models)</t>
    <phoneticPr fontId="2" type="noConversion"/>
  </si>
  <si>
    <t>Minimum</t>
    <phoneticPr fontId="2" type="noConversion"/>
  </si>
  <si>
    <t>Maximum</t>
    <phoneticPr fontId="2" type="noConversion"/>
  </si>
  <si>
    <t>Installation distance</t>
    <phoneticPr fontId="2" type="noConversion"/>
  </si>
  <si>
    <t>Max (M)</t>
    <phoneticPr fontId="2" type="noConversion"/>
  </si>
  <si>
    <t>Final image aspect ratio</t>
    <phoneticPr fontId="2" type="noConversion"/>
  </si>
  <si>
    <t>Min. (M)</t>
    <phoneticPr fontId="2" type="noConversion"/>
  </si>
  <si>
    <t>Projector Throw Ratio</t>
    <phoneticPr fontId="2" type="noConversion"/>
  </si>
  <si>
    <t>Projector resolu. (H)</t>
    <phoneticPr fontId="2" type="noConversion"/>
  </si>
  <si>
    <t>Projector resolu. (V)</t>
    <phoneticPr fontId="2" type="noConversion"/>
  </si>
  <si>
    <t>Source resolution (H)</t>
    <phoneticPr fontId="2" type="noConversion"/>
  </si>
  <si>
    <t>Source resolution (V)</t>
    <phoneticPr fontId="2" type="noConversion"/>
  </si>
  <si>
    <t>Qty of projector (H)</t>
    <phoneticPr fontId="2" type="noConversion"/>
  </si>
  <si>
    <t>Qty of projector (V)</t>
    <phoneticPr fontId="2" type="noConversion"/>
  </si>
  <si>
    <t>Overlap pixels (32 pixels per grid)</t>
    <phoneticPr fontId="2" type="noConversion"/>
  </si>
  <si>
    <t>Throw ratio (Min)</t>
    <phoneticPr fontId="2" type="noConversion"/>
  </si>
  <si>
    <t>Throw ratio (Max)</t>
    <phoneticPr fontId="2" type="noConversion"/>
  </si>
  <si>
    <t>Screen Aspect ratio</t>
    <phoneticPr fontId="2" type="noConversion"/>
  </si>
  <si>
    <t>Image size for each PJT</t>
    <phoneticPr fontId="2" type="noConversion"/>
  </si>
  <si>
    <t>Original aspect ratio</t>
    <phoneticPr fontId="2" type="noConversion"/>
  </si>
  <si>
    <t>* Standard luminance is 400-800 Lux for restaurant and big conference</t>
    <phoneticPr fontId="2" type="noConversion"/>
  </si>
  <si>
    <t>* The actual installation image size should be equal or larger than expected size.</t>
    <phoneticPr fontId="2" type="noConversion"/>
  </si>
  <si>
    <t>Final Image size (meter)</t>
    <phoneticPr fontId="2" type="noConversion"/>
  </si>
  <si>
    <t xml:space="preserve">* Final mage height should be equal or larger than screen. User can shrink image to have the </t>
    <phoneticPr fontId="2" type="noConversion"/>
  </si>
  <si>
    <t>1 Lux = 1 lumen/m2 = 0.0929 foot-candle</t>
    <phoneticPr fontId="2" type="noConversion"/>
  </si>
  <si>
    <t>1Lumen/m2/Steradian= 1Nit =0.29186 Foot-Lambert</t>
    <phoneticPr fontId="2" type="noConversion"/>
  </si>
  <si>
    <t>Final Illuminance Lux (Lum/m2)</t>
    <phoneticPr fontId="2" type="noConversion"/>
  </si>
  <si>
    <t xml:space="preserve">   same image height as screen by GeoBox geometry adjustment.</t>
    <phoneticPr fontId="2" type="noConversion"/>
  </si>
  <si>
    <t>Overlap value (Horizontal)</t>
    <phoneticPr fontId="2" type="noConversion"/>
  </si>
  <si>
    <t>Overlap value (Vertical)</t>
    <phoneticPr fontId="2" type="noConversion"/>
  </si>
  <si>
    <t>Screen aspect ratio</t>
    <phoneticPr fontId="2" type="noConversion"/>
  </si>
  <si>
    <t>Final Total H resolution</t>
    <phoneticPr fontId="2" type="noConversion"/>
  </si>
  <si>
    <t>Final Total V resolution</t>
    <phoneticPr fontId="2" type="noConversion"/>
  </si>
  <si>
    <t>Projector original lumens</t>
    <phoneticPr fontId="2" type="noConversion"/>
  </si>
  <si>
    <t>Final illuminance (Lux)</t>
    <phoneticPr fontId="2" type="noConversion"/>
  </si>
  <si>
    <t>Single PJT image (H) (m)</t>
    <phoneticPr fontId="2" type="noConversion"/>
  </si>
  <si>
    <t>* Please apply Overlap pixels with 32x</t>
    <phoneticPr fontId="2" type="noConversion"/>
  </si>
  <si>
    <t xml:space="preserve">  adjustment is based 32x32 for each grid.</t>
    <phoneticPr fontId="2" type="noConversion"/>
  </si>
  <si>
    <t>* When Overlap value has decimals, user can take the nearest integer value. After finishing setup, user can adjust Overlap value again to get the clearest image.</t>
    <phoneticPr fontId="2" type="noConversion"/>
  </si>
  <si>
    <t>* When execute Video wall setting, user needs to connect the signal with the same resolution as [Source Resolution] in this Spread Sheet.</t>
    <phoneticPr fontId="2" type="noConversion"/>
  </si>
  <si>
    <t>* The best content resolution is the same as Final output resolution in cell D15&amp; D16.</t>
    <phoneticPr fontId="2" type="noConversion"/>
  </si>
  <si>
    <t>LH Overlap value</t>
    <phoneticPr fontId="2" type="noConversion"/>
  </si>
  <si>
    <t>RH Overlap value</t>
    <phoneticPr fontId="2" type="noConversion"/>
  </si>
  <si>
    <t>Top Overlap value</t>
    <phoneticPr fontId="2" type="noConversion"/>
  </si>
  <si>
    <t>Bottom Overlap value</t>
    <phoneticPr fontId="2" type="noConversion"/>
  </si>
  <si>
    <t>Example for video wall Overlap value settings in each projector</t>
    <phoneticPr fontId="2" type="noConversion"/>
  </si>
  <si>
    <t>Position of projector (H)</t>
    <phoneticPr fontId="2" type="noConversion"/>
  </si>
  <si>
    <t>Position of projector (V)</t>
    <phoneticPr fontId="2" type="noConversion"/>
  </si>
  <si>
    <t>LH edge overlap value</t>
    <phoneticPr fontId="2" type="noConversion"/>
  </si>
  <si>
    <t>RH edge overlap value</t>
    <phoneticPr fontId="2" type="noConversion"/>
  </si>
  <si>
    <t>Top edge overlap value</t>
    <phoneticPr fontId="2" type="noConversion"/>
  </si>
  <si>
    <t>Projector # 11:  Take Overlap Value at H (Horizontal)= #1 +V (vertical)= #3</t>
    <phoneticPr fontId="2" type="noConversion"/>
  </si>
  <si>
    <t>Projector  # 9 : Take Overlap Value H (Horizontal)= #4 +V (vertical)= #2</t>
    <phoneticPr fontId="2" type="noConversion"/>
  </si>
  <si>
    <t>Recommended overlap region: Min. 50 cm width</t>
  </si>
  <si>
    <t xml:space="preserve">  because default grid size for geometry</t>
  </si>
  <si>
    <t>*User can change grid size via OSD to</t>
  </si>
  <si>
    <t xml:space="preserve">  any grid size between 8-120 pixels.</t>
  </si>
  <si>
    <t>PJT 6</t>
  </si>
  <si>
    <t>Bottom edge overlap value</t>
  </si>
  <si>
    <t>Projector  # 5:  Video Wall Overlap setting Value at H (Horizontal): LH=128, RH=128 &amp; V (vertical): Top=114, Bottom=0</t>
  </si>
  <si>
    <t>Projector # 1:  Video Wall Overlap setting Value at H (Horizontal): LH=0, RH=256  &amp; V (vertical): Top=0, Bottom=114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</si>
</sst>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00_ "/>
    <numFmt numFmtId="165" formatCode="0.00_);[Red]\(0.00\)"/>
    <numFmt numFmtId="166" formatCode="0_ "/>
    <numFmt numFmtId="167" formatCode="0_);[Red]\(0\)"/>
    <numFmt numFmtId="168" formatCode="0.0"/>
    <numFmt numFmtId="169" formatCode="0.000"/>
    <numFmt numFmtId="170" formatCode="0.0%"/>
    <numFmt numFmtId="171" formatCode="0.000_);[Red]\(0.000\)"/>
    <numFmt numFmtId="172" formatCode="[$-409]mmmmm\-yy;@"/>
    <numFmt numFmtId="173" formatCode="0.000000%"/>
    <numFmt numFmtId="174" formatCode="0.0000000%"/>
  </numFmts>
  <fonts count="27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0"/>
      <name val="微軟正黑體"/>
      <family val="2"/>
      <charset val="136"/>
    </font>
    <font>
      <sz val="10"/>
      <name val="微軟正黑體"/>
      <family val="2"/>
      <charset val="136"/>
    </font>
    <font>
      <sz val="10"/>
      <color indexed="8"/>
      <name val="微軟正黑體"/>
      <family val="2"/>
      <charset val="136"/>
    </font>
    <font>
      <sz val="8"/>
      <name val="微軟正黑體"/>
      <family val="2"/>
      <charset val="136"/>
    </font>
    <font>
      <sz val="12"/>
      <name val="微軟正黑體"/>
      <family val="2"/>
      <charset val="136"/>
    </font>
    <font>
      <sz val="9"/>
      <name val="Arial"/>
      <family val="2"/>
    </font>
    <font>
      <sz val="10"/>
      <name val="Arial"/>
      <family val="2"/>
    </font>
    <font>
      <b/>
      <sz val="8"/>
      <name val="微軟正黑體"/>
      <family val="2"/>
      <charset val="136"/>
    </font>
    <font>
      <sz val="10"/>
      <color rgb="FF333333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b/>
      <sz val="12"/>
      <color theme="4"/>
      <name val="微軟正黑體"/>
      <family val="2"/>
      <charset val="136"/>
    </font>
    <font>
      <b/>
      <sz val="10"/>
      <color theme="4"/>
      <name val="微軟正黑體"/>
      <family val="2"/>
      <charset val="136"/>
    </font>
    <font>
      <sz val="10"/>
      <color theme="4"/>
      <name val="微軟正黑體"/>
      <family val="2"/>
      <charset val="136"/>
    </font>
    <font>
      <sz val="10"/>
      <color theme="9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b/>
      <sz val="14"/>
      <color theme="4"/>
      <name val="微軟正黑體"/>
      <family val="2"/>
      <charset val="136"/>
    </font>
    <font>
      <b/>
      <sz val="8"/>
      <color rgb="FFFF0000"/>
      <name val="微軟正黑體"/>
      <family val="2"/>
      <charset val="136"/>
    </font>
    <font>
      <sz val="14"/>
      <color theme="4"/>
      <name val="微軟正黑體"/>
      <family val="2"/>
      <charset val="136"/>
    </font>
    <font>
      <sz val="10"/>
      <color theme="2"/>
      <name val="微軟正黑體"/>
      <family val="2"/>
      <charset val="136"/>
    </font>
    <font>
      <b/>
      <sz val="10"/>
      <color theme="0"/>
      <name val="微軟正黑體"/>
      <family val="2"/>
      <charset val="136"/>
    </font>
    <font>
      <sz val="10"/>
      <color rgb="FFFFFF00"/>
      <name val="微軟正黑體"/>
      <family val="2"/>
      <charset val="136"/>
    </font>
    <font>
      <sz val="9"/>
      <color rgb="FF000000"/>
      <name val="Arial"/>
      <family val="2"/>
    </font>
    <font>
      <b/>
      <sz val="10"/>
      <color theme="3"/>
      <name val="微軟正黑體"/>
      <family val="2"/>
      <charset val="136"/>
    </font>
    <font>
      <sz val="10"/>
      <color theme="1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Protection="1">
      <alignment vertical="center"/>
      <protection hidden="1"/>
    </xf>
    <xf numFmtId="167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1" fillId="0" borderId="0" xfId="0" applyFont="1">
      <alignment vertical="center"/>
    </xf>
    <xf numFmtId="167" fontId="4" fillId="0" borderId="0" xfId="0" applyNumberFormat="1" applyFont="1" applyProtection="1">
      <alignment vertical="center"/>
      <protection hidden="1"/>
    </xf>
    <xf numFmtId="0" fontId="3" fillId="0" borderId="0" xfId="0" applyFont="1" applyAlignment="1">
      <alignment horizontal="left" vertical="center"/>
    </xf>
    <xf numFmtId="166" fontId="4" fillId="0" borderId="0" xfId="0" applyNumberFormat="1" applyFont="1" applyAlignment="1" applyProtection="1">
      <alignment horizontal="center" vertical="center"/>
      <protection hidden="1"/>
    </xf>
    <xf numFmtId="164" fontId="5" fillId="0" borderId="0" xfId="0" applyNumberFormat="1" applyFont="1" applyProtection="1">
      <alignment vertical="center"/>
      <protection hidden="1"/>
    </xf>
    <xf numFmtId="164" fontId="5" fillId="0" borderId="0" xfId="0" quotePrefix="1" applyNumberFormat="1" applyFont="1" applyAlignment="1" applyProtection="1">
      <alignment horizontal="left" vertical="center"/>
      <protection hidden="1"/>
    </xf>
    <xf numFmtId="166" fontId="4" fillId="0" borderId="0" xfId="0" applyNumberFormat="1" applyFont="1" applyAlignment="1">
      <alignment horizontal="center" vertical="center"/>
    </xf>
    <xf numFmtId="0" fontId="12" fillId="0" borderId="0" xfId="0" applyFont="1">
      <alignment vertical="center"/>
    </xf>
    <xf numFmtId="169" fontId="4" fillId="0" borderId="0" xfId="0" applyNumberFormat="1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/>
    <xf numFmtId="1" fontId="4" fillId="0" borderId="0" xfId="0" applyNumberFormat="1" applyFont="1" applyAlignment="1"/>
    <xf numFmtId="0" fontId="13" fillId="0" borderId="0" xfId="0" applyFont="1" applyAlignment="1">
      <alignment horizontal="left" vertical="center"/>
    </xf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13" fillId="0" borderId="0" xfId="0" applyFont="1" applyAlignment="1"/>
    <xf numFmtId="0" fontId="16" fillId="0" borderId="0" xfId="0" applyFont="1" applyAlignment="1"/>
    <xf numFmtId="0" fontId="17" fillId="0" borderId="0" xfId="0" applyFont="1" applyAlignment="1">
      <alignment horizontal="left" vertical="center"/>
    </xf>
    <xf numFmtId="167" fontId="4" fillId="0" borderId="0" xfId="0" applyNumberFormat="1" applyFont="1" applyAlignment="1"/>
    <xf numFmtId="2" fontId="12" fillId="0" borderId="1" xfId="0" applyNumberFormat="1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165" fontId="12" fillId="0" borderId="1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Alignment="1">
      <alignment horizontal="center" vertical="center"/>
    </xf>
    <xf numFmtId="167" fontId="12" fillId="0" borderId="0" xfId="0" applyNumberFormat="1" applyFont="1">
      <alignment vertical="center"/>
    </xf>
    <xf numFmtId="0" fontId="15" fillId="0" borderId="0" xfId="0" applyFont="1" applyAlignment="1">
      <alignment horizontal="left"/>
    </xf>
    <xf numFmtId="0" fontId="3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166" fontId="4" fillId="0" borderId="1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172" fontId="22" fillId="0" borderId="0" xfId="0" applyNumberFormat="1" applyFo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protection hidden="1"/>
    </xf>
    <xf numFmtId="0" fontId="4" fillId="0" borderId="1" xfId="0" applyFont="1" applyBorder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167" fontId="4" fillId="0" borderId="1" xfId="0" applyNumberFormat="1" applyFont="1" applyBorder="1" applyAlignment="1" applyProtection="1">
      <alignment horizontal="center" vertical="center"/>
      <protection hidden="1"/>
    </xf>
    <xf numFmtId="167" fontId="4" fillId="0" borderId="1" xfId="0" applyNumberFormat="1" applyFont="1" applyBorder="1" applyProtection="1">
      <alignment vertical="center"/>
      <protection hidden="1"/>
    </xf>
    <xf numFmtId="1" fontId="12" fillId="0" borderId="1" xfId="0" applyNumberFormat="1" applyFont="1" applyBorder="1" applyAlignment="1" applyProtection="1">
      <alignment horizontal="center" vertical="center"/>
      <protection hidden="1"/>
    </xf>
    <xf numFmtId="170" fontId="12" fillId="0" borderId="1" xfId="1" applyNumberFormat="1" applyFont="1" applyBorder="1" applyAlignment="1" applyProtection="1">
      <alignment horizontal="center" vertical="center"/>
      <protection hidden="1"/>
    </xf>
    <xf numFmtId="170" fontId="4" fillId="0" borderId="1" xfId="1" applyNumberFormat="1" applyFont="1" applyBorder="1" applyAlignment="1">
      <alignment horizontal="center" vertical="center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Protection="1">
      <alignment vertical="center"/>
      <protection hidden="1"/>
    </xf>
    <xf numFmtId="1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  <protection hidden="1"/>
    </xf>
    <xf numFmtId="167" fontId="4" fillId="0" borderId="0" xfId="0" applyNumberFormat="1" applyFont="1" applyAlignment="1">
      <alignment horizontal="left" vertical="center"/>
    </xf>
    <xf numFmtId="1" fontId="4" fillId="0" borderId="0" xfId="0" applyNumberFormat="1" applyFont="1" applyProtection="1">
      <alignment vertical="center"/>
      <protection hidden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 applyProtection="1">
      <alignment horizontal="left" vertical="center"/>
      <protection hidden="1"/>
    </xf>
    <xf numFmtId="0" fontId="7" fillId="0" borderId="0" xfId="0" applyFont="1" applyAlignment="1">
      <alignment horizontal="left" vertical="center"/>
    </xf>
    <xf numFmtId="2" fontId="1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2" fontId="12" fillId="0" borderId="2" xfId="0" applyNumberFormat="1" applyFont="1" applyBorder="1" applyAlignment="1" applyProtection="1">
      <alignment horizontal="center" vertical="center"/>
      <protection hidden="1"/>
    </xf>
    <xf numFmtId="2" fontId="4" fillId="4" borderId="1" xfId="0" applyNumberFormat="1" applyFont="1" applyFill="1" applyBorder="1" applyAlignment="1">
      <alignment horizontal="center" vertical="center"/>
    </xf>
    <xf numFmtId="171" fontId="12" fillId="0" borderId="1" xfId="0" applyNumberFormat="1" applyFont="1" applyBorder="1" applyAlignment="1" applyProtection="1">
      <alignment horizontal="center" vertical="center"/>
      <protection hidden="1"/>
    </xf>
    <xf numFmtId="169" fontId="12" fillId="0" borderId="1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left"/>
    </xf>
    <xf numFmtId="165" fontId="4" fillId="0" borderId="0" xfId="0" applyNumberFormat="1" applyFont="1">
      <alignment vertical="center"/>
    </xf>
    <xf numFmtId="171" fontId="4" fillId="0" borderId="0" xfId="0" applyNumberFormat="1" applyFont="1">
      <alignment vertical="center"/>
    </xf>
    <xf numFmtId="167" fontId="4" fillId="0" borderId="0" xfId="0" applyNumberFormat="1" applyFont="1" applyAlignment="1" applyProtection="1">
      <alignment horizontal="center" vertical="center"/>
      <protection hidden="1"/>
    </xf>
    <xf numFmtId="10" fontId="8" fillId="0" borderId="0" xfId="0" applyNumberFormat="1" applyFont="1" applyAlignment="1">
      <alignment horizontal="center" vertical="center" wrapText="1"/>
    </xf>
    <xf numFmtId="171" fontId="4" fillId="0" borderId="0" xfId="0" applyNumberFormat="1" applyFont="1" applyProtection="1">
      <alignment vertical="center"/>
      <protection hidden="1"/>
    </xf>
    <xf numFmtId="171" fontId="4" fillId="0" borderId="0" xfId="0" quotePrefix="1" applyNumberFormat="1" applyFont="1" applyProtection="1">
      <alignment vertical="center"/>
      <protection hidden="1"/>
    </xf>
    <xf numFmtId="173" fontId="4" fillId="0" borderId="0" xfId="1" applyNumberFormat="1" applyFont="1">
      <alignment vertical="center"/>
    </xf>
    <xf numFmtId="173" fontId="4" fillId="0" borderId="0" xfId="1" applyNumberFormat="1" applyFont="1" applyFill="1" applyBorder="1">
      <alignment vertical="center"/>
    </xf>
    <xf numFmtId="0" fontId="8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74" fontId="24" fillId="0" borderId="0" xfId="0" applyNumberFormat="1" applyFont="1" applyAlignment="1">
      <alignment horizontal="right" vertical="center" wrapText="1"/>
    </xf>
    <xf numFmtId="0" fontId="25" fillId="0" borderId="3" xfId="0" applyFont="1" applyBorder="1" applyAlignment="1">
      <alignment horizontal="center" vertical="center"/>
    </xf>
    <xf numFmtId="2" fontId="12" fillId="0" borderId="0" xfId="0" applyNumberFormat="1" applyFont="1" applyAlignment="1" applyProtection="1">
      <alignment horizontal="center" vertical="center"/>
      <protection hidden="1"/>
    </xf>
    <xf numFmtId="0" fontId="12" fillId="0" borderId="1" xfId="0" applyFont="1" applyBorder="1" applyProtection="1">
      <alignment vertical="center"/>
      <protection hidden="1"/>
    </xf>
    <xf numFmtId="164" fontId="4" fillId="0" borderId="1" xfId="0" applyNumberFormat="1" applyFont="1" applyBorder="1" applyProtection="1">
      <alignment vertical="center"/>
      <protection hidden="1"/>
    </xf>
    <xf numFmtId="164" fontId="4" fillId="0" borderId="1" xfId="0" applyNumberFormat="1" applyFont="1" applyBorder="1" applyAlignment="1" applyProtection="1">
      <alignment horizontal="center" vertical="center"/>
      <protection hidden="1"/>
    </xf>
    <xf numFmtId="164" fontId="12" fillId="0" borderId="1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0" xfId="0" applyNumberFormat="1" applyFont="1" applyProtection="1">
      <alignment vertical="center"/>
      <protection hidden="1"/>
    </xf>
    <xf numFmtId="164" fontId="4" fillId="0" borderId="0" xfId="0" applyNumberFormat="1" applyFont="1">
      <alignment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0" fontId="9" fillId="0" borderId="0" xfId="0" applyNumberFormat="1" applyFont="1" applyAlignment="1">
      <alignment horizontal="center" vertical="center" wrapText="1"/>
    </xf>
    <xf numFmtId="173" fontId="4" fillId="0" borderId="0" xfId="1" applyNumberFormat="1" applyFont="1" applyBorder="1">
      <alignment vertical="center"/>
    </xf>
    <xf numFmtId="168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164" fontId="5" fillId="0" borderId="0" xfId="0" quotePrefix="1" applyNumberFormat="1" applyFont="1" applyAlignment="1" applyProtection="1">
      <alignment horizontal="left"/>
      <protection hidden="1"/>
    </xf>
    <xf numFmtId="173" fontId="4" fillId="0" borderId="0" xfId="1" applyNumberFormat="1" applyFont="1" applyFill="1" applyBorder="1" applyAlignment="1"/>
    <xf numFmtId="173" fontId="4" fillId="0" borderId="0" xfId="1" applyNumberFormat="1" applyFont="1" applyAlignment="1"/>
    <xf numFmtId="167" fontId="4" fillId="0" borderId="0" xfId="0" applyNumberFormat="1" applyFont="1" applyAlignment="1" applyProtection="1">
      <protection hidden="1"/>
    </xf>
    <xf numFmtId="0" fontId="24" fillId="0" borderId="0" xfId="0" applyFont="1" applyAlignment="1">
      <alignment horizontal="center" wrapText="1"/>
    </xf>
    <xf numFmtId="174" fontId="24" fillId="0" borderId="0" xfId="0" applyNumberFormat="1" applyFont="1" applyAlignment="1">
      <alignment horizontal="right" wrapText="1"/>
    </xf>
    <xf numFmtId="0" fontId="7" fillId="0" borderId="0" xfId="0" applyFont="1">
      <alignment vertical="center"/>
    </xf>
    <xf numFmtId="2" fontId="12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10" fillId="0" borderId="0" xfId="0" applyFont="1">
      <alignment vertical="center"/>
    </xf>
    <xf numFmtId="0" fontId="6" fillId="0" borderId="0" xfId="0" applyFont="1">
      <alignment vertical="center"/>
    </xf>
    <xf numFmtId="0" fontId="23" fillId="0" borderId="0" xfId="0" applyFont="1" applyProtection="1">
      <alignment vertical="center"/>
      <protection hidden="1"/>
    </xf>
    <xf numFmtId="2" fontId="23" fillId="0" borderId="0" xfId="0" applyNumberFormat="1" applyFont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0" xfId="0" applyNumberFormat="1" applyFont="1" applyAlignment="1">
      <alignment horizontal="left"/>
    </xf>
    <xf numFmtId="167" fontId="4" fillId="0" borderId="1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  <protection hidden="1"/>
    </xf>
    <xf numFmtId="164" fontId="12" fillId="0" borderId="1" xfId="0" applyNumberFormat="1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" fontId="12" fillId="0" borderId="1" xfId="0" applyNumberFormat="1" applyFont="1" applyBorder="1" applyAlignment="1" applyProtection="1">
      <alignment horizontal="center" vertical="center"/>
      <protection hidden="1"/>
    </xf>
    <xf numFmtId="169" fontId="12" fillId="0" borderId="1" xfId="0" applyNumberFormat="1" applyFont="1" applyBorder="1" applyAlignment="1" applyProtection="1">
      <alignment horizontal="center" vertical="center"/>
      <protection hidden="1"/>
    </xf>
    <xf numFmtId="169" fontId="12" fillId="0" borderId="6" xfId="0" applyNumberFormat="1" applyFont="1" applyBorder="1" applyAlignment="1" applyProtection="1">
      <alignment horizontal="center" vertical="center"/>
      <protection hidden="1"/>
    </xf>
    <xf numFmtId="169" fontId="12" fillId="0" borderId="6" xfId="0" applyNumberFormat="1" applyFont="1" applyBorder="1" applyAlignment="1">
      <alignment horizontal="center" vertical="center"/>
    </xf>
    <xf numFmtId="1" fontId="26" fillId="0" borderId="6" xfId="0" applyNumberFormat="1" applyFont="1" applyBorder="1" applyAlignment="1" applyProtection="1">
      <alignment horizontal="center" vertical="center"/>
      <protection hidden="1"/>
    </xf>
    <xf numFmtId="169" fontId="12" fillId="0" borderId="9" xfId="0" applyNumberFormat="1" applyFont="1" applyBorder="1" applyAlignment="1" applyProtection="1">
      <alignment horizontal="center" vertical="center"/>
      <protection hidden="1"/>
    </xf>
    <xf numFmtId="169" fontId="12" fillId="0" borderId="2" xfId="0" applyNumberFormat="1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" fontId="26" fillId="0" borderId="5" xfId="0" applyNumberFormat="1" applyFont="1" applyBorder="1" applyAlignment="1" applyProtection="1">
      <alignment horizontal="center" vertical="center"/>
      <protection hidden="1"/>
    </xf>
    <xf numFmtId="1" fontId="26" fillId="0" borderId="7" xfId="0" applyNumberFormat="1" applyFont="1" applyBorder="1" applyAlignment="1" applyProtection="1">
      <alignment horizontal="center" vertical="center"/>
      <protection hidden="1"/>
    </xf>
    <xf numFmtId="2" fontId="12" fillId="0" borderId="1" xfId="0" applyNumberFormat="1" applyFont="1" applyBorder="1" applyAlignment="1" applyProtection="1">
      <alignment horizontal="center" vertical="center"/>
      <protection hidden="1"/>
    </xf>
    <xf numFmtId="169" fontId="12" fillId="0" borderId="9" xfId="0" applyNumberFormat="1" applyFont="1" applyBorder="1" applyAlignment="1">
      <alignment horizontal="center" vertical="center"/>
    </xf>
    <xf numFmtId="169" fontId="12" fillId="0" borderId="2" xfId="0" applyNumberFormat="1" applyFont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center"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43</xdr:row>
      <xdr:rowOff>19050</xdr:rowOff>
    </xdr:from>
    <xdr:to>
      <xdr:col>15</xdr:col>
      <xdr:colOff>161925</xdr:colOff>
      <xdr:row>84</xdr:row>
      <xdr:rowOff>47625</xdr:rowOff>
    </xdr:to>
    <xdr:pic>
      <xdr:nvPicPr>
        <xdr:cNvPr id="8385" name="圖片 1">
          <a:extLst>
            <a:ext uri="{FF2B5EF4-FFF2-40B4-BE49-F238E27FC236}">
              <a16:creationId xmlns:a16="http://schemas.microsoft.com/office/drawing/2014/main" id="{1B61D159-6744-B638-D6F9-746943E3A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53450"/>
          <a:ext cx="11372850" cy="739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390526</xdr:colOff>
      <xdr:row>50</xdr:row>
      <xdr:rowOff>171450</xdr:rowOff>
    </xdr:from>
    <xdr:to>
      <xdr:col>14</xdr:col>
      <xdr:colOff>542926</xdr:colOff>
      <xdr:row>60</xdr:row>
      <xdr:rowOff>119310</xdr:rowOff>
    </xdr:to>
    <xdr:sp macro="" textlink="">
      <xdr:nvSpPr>
        <xdr:cNvPr id="3" name="文字方塊 2">
          <a:extLst>
            <a:ext uri="{FF2B5EF4-FFF2-40B4-BE49-F238E27FC236}">
              <a16:creationId xmlns:a16="http://schemas.microsoft.com/office/drawing/2014/main" id="{2181762A-C552-4CC0-94D3-4E53FBAEBD29}"/>
            </a:ext>
          </a:extLst>
        </xdr:cNvPr>
        <xdr:cNvSpPr txBox="1"/>
      </xdr:nvSpPr>
      <xdr:spPr>
        <a:xfrm>
          <a:off x="5476876" y="10172700"/>
          <a:ext cx="5905500" cy="17290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altLang="zh-TW" sz="1100"/>
        </a:p>
        <a:p>
          <a:r>
            <a:rPr lang="en-US" altLang="zh-TW" sz="1100"/>
            <a:t>Calculation of the distance (D) between projector lens and screen</a:t>
          </a:r>
        </a:p>
        <a:p>
          <a:r>
            <a:rPr lang="en-US" altLang="zh-TW" sz="1100"/>
            <a:t>1. Projector throw ratio (T)</a:t>
          </a:r>
        </a:p>
        <a:p>
          <a:pPr>
            <a:lnSpc>
              <a:spcPts val="1200"/>
            </a:lnSpc>
          </a:pPr>
          <a:r>
            <a:rPr lang="en-US" altLang="zh-TW" sz="1100"/>
            <a:t>2. Single projector image width (W)</a:t>
          </a:r>
          <a:r>
            <a:rPr lang="en-US" altLang="zh-TW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</a:t>
          </a:r>
        </a:p>
        <a:p>
          <a:r>
            <a:rPr lang="en-US" altLang="zh-TW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en-US" altLang="zh-TW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D(throw distance)=W*T</a:t>
          </a:r>
          <a:r>
            <a:rPr lang="en-US" altLang="zh-TW"/>
            <a:t> </a:t>
          </a:r>
        </a:p>
        <a:p>
          <a:pPr>
            <a:lnSpc>
              <a:spcPts val="1200"/>
            </a:lnSpc>
          </a:pPr>
          <a:r>
            <a:rPr lang="en-US" altLang="zh-TW" sz="1100"/>
            <a:t>3. If the projector is designed with ZOOM function, user can install</a:t>
          </a:r>
          <a:r>
            <a:rPr lang="en-US" altLang="zh-TW" sz="1100" baseline="0"/>
            <a:t> projector at center position</a:t>
          </a:r>
        </a:p>
        <a:p>
          <a:pPr>
            <a:lnSpc>
              <a:spcPts val="1100"/>
            </a:lnSpc>
          </a:pPr>
          <a:r>
            <a:rPr lang="en-US" altLang="zh-TW" sz="1100" baseline="0"/>
            <a:t>    for more flexible image size adjustment.</a:t>
          </a:r>
          <a:endParaRPr lang="zh-TW" altLang="en-US" sz="1100"/>
        </a:p>
      </xdr:txBody>
    </xdr:sp>
    <xdr:clientData/>
  </xdr:twoCellAnchor>
  <xdr:twoCellAnchor>
    <xdr:from>
      <xdr:col>4</xdr:col>
      <xdr:colOff>41056</xdr:colOff>
      <xdr:row>54</xdr:row>
      <xdr:rowOff>114367</xdr:rowOff>
    </xdr:from>
    <xdr:to>
      <xdr:col>8</xdr:col>
      <xdr:colOff>92194</xdr:colOff>
      <xdr:row>61</xdr:row>
      <xdr:rowOff>4112</xdr:rowOff>
    </xdr:to>
    <xdr:sp macro="" textlink="">
      <xdr:nvSpPr>
        <xdr:cNvPr id="7" name="文字方塊 6">
          <a:extLst>
            <a:ext uri="{FF2B5EF4-FFF2-40B4-BE49-F238E27FC236}">
              <a16:creationId xmlns:a16="http://schemas.microsoft.com/office/drawing/2014/main" id="{DAA93A75-B60A-D0DF-8584-6B1069052836}"/>
            </a:ext>
          </a:extLst>
        </xdr:cNvPr>
        <xdr:cNvSpPr txBox="1"/>
      </xdr:nvSpPr>
      <xdr:spPr>
        <a:xfrm>
          <a:off x="2639903" y="13696294"/>
          <a:ext cx="2713804" cy="11044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3</xdr:col>
      <xdr:colOff>534721</xdr:colOff>
      <xdr:row>36</xdr:row>
      <xdr:rowOff>219075</xdr:rowOff>
    </xdr:from>
    <xdr:to>
      <xdr:col>4</xdr:col>
      <xdr:colOff>558716</xdr:colOff>
      <xdr:row>38</xdr:row>
      <xdr:rowOff>10649</xdr:rowOff>
    </xdr:to>
    <xdr:sp macro="" textlink="">
      <xdr:nvSpPr>
        <xdr:cNvPr id="8" name="橢圓 7">
          <a:extLst>
            <a:ext uri="{FF2B5EF4-FFF2-40B4-BE49-F238E27FC236}">
              <a16:creationId xmlns:a16="http://schemas.microsoft.com/office/drawing/2014/main" id="{7D2056A2-600C-E1DA-16F9-860DE49B2C0A}"/>
            </a:ext>
          </a:extLst>
        </xdr:cNvPr>
        <xdr:cNvSpPr/>
      </xdr:nvSpPr>
      <xdr:spPr>
        <a:xfrm>
          <a:off x="2173021" y="7515225"/>
          <a:ext cx="1195570" cy="24877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42733</xdr:colOff>
      <xdr:row>35</xdr:row>
      <xdr:rowOff>200026</xdr:rowOff>
    </xdr:from>
    <xdr:to>
      <xdr:col>1</xdr:col>
      <xdr:colOff>1401156</xdr:colOff>
      <xdr:row>36</xdr:row>
      <xdr:rowOff>209550</xdr:rowOff>
    </xdr:to>
    <xdr:sp macro="" textlink="">
      <xdr:nvSpPr>
        <xdr:cNvPr id="9" name="橢圓 8">
          <a:extLst>
            <a:ext uri="{FF2B5EF4-FFF2-40B4-BE49-F238E27FC236}">
              <a16:creationId xmlns:a16="http://schemas.microsoft.com/office/drawing/2014/main" id="{2668D5A9-C0C0-CFA5-8834-49167264C490}"/>
            </a:ext>
          </a:extLst>
        </xdr:cNvPr>
        <xdr:cNvSpPr/>
      </xdr:nvSpPr>
      <xdr:spPr>
        <a:xfrm>
          <a:off x="166558" y="7286626"/>
          <a:ext cx="1358423" cy="21907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100848</xdr:colOff>
      <xdr:row>30</xdr:row>
      <xdr:rowOff>0</xdr:rowOff>
    </xdr:from>
    <xdr:to>
      <xdr:col>14</xdr:col>
      <xdr:colOff>282019</xdr:colOff>
      <xdr:row>31</xdr:row>
      <xdr:rowOff>18</xdr:rowOff>
    </xdr:to>
    <xdr:sp macro="" textlink="">
      <xdr:nvSpPr>
        <xdr:cNvPr id="5" name="橢圓 4">
          <a:extLst>
            <a:ext uri="{FF2B5EF4-FFF2-40B4-BE49-F238E27FC236}">
              <a16:creationId xmlns:a16="http://schemas.microsoft.com/office/drawing/2014/main" id="{F32ECEC0-5FE0-16BE-3D23-99063C23F05A}"/>
            </a:ext>
          </a:extLst>
        </xdr:cNvPr>
        <xdr:cNvSpPr/>
      </xdr:nvSpPr>
      <xdr:spPr>
        <a:xfrm>
          <a:off x="6083191" y="6048994"/>
          <a:ext cx="653019" cy="21060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97978</xdr:colOff>
      <xdr:row>31</xdr:row>
      <xdr:rowOff>1</xdr:rowOff>
    </xdr:from>
    <xdr:to>
      <xdr:col>6</xdr:col>
      <xdr:colOff>293850</xdr:colOff>
      <xdr:row>31</xdr:row>
      <xdr:rowOff>193991</xdr:rowOff>
    </xdr:to>
    <xdr:sp macro="" textlink="">
      <xdr:nvSpPr>
        <xdr:cNvPr id="8" name="橢圓 7">
          <a:extLst>
            <a:ext uri="{FF2B5EF4-FFF2-40B4-BE49-F238E27FC236}">
              <a16:creationId xmlns:a16="http://schemas.microsoft.com/office/drawing/2014/main" id="{CF98DE0C-11E4-AEB9-FB4D-C4D7551AD717}"/>
            </a:ext>
          </a:extLst>
        </xdr:cNvPr>
        <xdr:cNvSpPr/>
      </xdr:nvSpPr>
      <xdr:spPr>
        <a:xfrm>
          <a:off x="2928808" y="6271657"/>
          <a:ext cx="653019" cy="21060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M90"/>
  <sheetViews>
    <sheetView showGridLines="0" tabSelected="1" zoomScaleNormal="100" workbookViewId="0">
      <selection activeCell="M5" sqref="M5"/>
    </sheetView>
  </sheetViews>
  <sheetFormatPr defaultRowHeight="13.5" x14ac:dyDescent="0.25"/>
  <cols>
    <col min="1" max="1" width="1.625" style="1" customWidth="1"/>
    <col min="2" max="2" width="20.75" style="1" customWidth="1"/>
    <col min="3" max="3" width="0.125" style="1" hidden="1" customWidth="1"/>
    <col min="4" max="4" width="15.375" style="1" customWidth="1"/>
    <col min="5" max="5" width="14.875" style="1" customWidth="1"/>
    <col min="6" max="6" width="13.125" style="1" hidden="1" customWidth="1"/>
    <col min="7" max="7" width="11.875" style="1" customWidth="1"/>
    <col min="8" max="8" width="8.25" style="1" customWidth="1"/>
    <col min="9" max="9" width="2.75" style="1" customWidth="1"/>
    <col min="10" max="10" width="13" style="1" customWidth="1"/>
    <col min="11" max="11" width="12" style="1" customWidth="1"/>
    <col min="12" max="12" width="12.875" style="1" customWidth="1"/>
    <col min="13" max="13" width="12.375" style="1" customWidth="1"/>
    <col min="14" max="14" width="11.625" style="1" customWidth="1"/>
    <col min="15" max="15" width="11.125" style="1" customWidth="1"/>
    <col min="16" max="19" width="9.375" style="3" customWidth="1"/>
    <col min="20" max="21" width="8.75" style="3" customWidth="1"/>
    <col min="22" max="23" width="9" style="1"/>
    <col min="24" max="25" width="9.125" style="1" bestFit="1" customWidth="1"/>
    <col min="26" max="27" width="10.25" style="1" bestFit="1" customWidth="1"/>
    <col min="28" max="29" width="9" style="1"/>
    <col min="30" max="31" width="11" style="1" bestFit="1" customWidth="1"/>
    <col min="32" max="16384" width="9" style="1"/>
  </cols>
  <sheetData>
    <row r="1" spans="2:36" ht="18.75" x14ac:dyDescent="0.3">
      <c r="C1" s="123" t="s">
        <v>88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R1" s="66"/>
      <c r="S1" s="121"/>
      <c r="T1" s="121"/>
      <c r="U1" s="74"/>
    </row>
    <row r="2" spans="2:36" ht="18.75" x14ac:dyDescent="0.3"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R2" s="60"/>
      <c r="S2" s="60"/>
      <c r="T2" s="43"/>
      <c r="U2" s="43"/>
    </row>
    <row r="3" spans="2:36" ht="18" customHeight="1" x14ac:dyDescent="0.25">
      <c r="B3" s="20" t="s">
        <v>82</v>
      </c>
      <c r="C3" s="1" t="s">
        <v>43</v>
      </c>
      <c r="E3" s="10"/>
      <c r="H3" s="44" t="str">
        <f>"AF5D0501"</f>
        <v>AF5D0501</v>
      </c>
      <c r="J3" s="24" t="s">
        <v>54</v>
      </c>
      <c r="O3" s="4"/>
      <c r="R3" s="1"/>
      <c r="S3" s="1"/>
      <c r="T3" s="1"/>
      <c r="U3" s="1"/>
    </row>
    <row r="4" spans="2:36" ht="15" customHeight="1" x14ac:dyDescent="0.25">
      <c r="B4" s="5" t="s">
        <v>108</v>
      </c>
      <c r="C4" s="45">
        <f>IF($H$3="AF5D0501", D4*1, 0)</f>
        <v>3840</v>
      </c>
      <c r="D4" s="26">
        <v>3840</v>
      </c>
      <c r="E4" s="5" t="s">
        <v>37</v>
      </c>
      <c r="F4" s="45">
        <f>IF($H$3="AF5D0501", G4*1, 0)</f>
        <v>10.5</v>
      </c>
      <c r="G4" s="70">
        <v>10.5</v>
      </c>
      <c r="H4" s="1" t="s">
        <v>39</v>
      </c>
      <c r="J4" s="124" t="s">
        <v>120</v>
      </c>
      <c r="K4" s="124"/>
      <c r="L4" s="124" t="s">
        <v>124</v>
      </c>
      <c r="M4" s="124"/>
      <c r="N4" s="124" t="s">
        <v>116</v>
      </c>
      <c r="O4" s="124"/>
      <c r="V4" s="96"/>
      <c r="W4" s="96"/>
      <c r="X4" s="96"/>
      <c r="Y4" s="73"/>
      <c r="AB4" s="73"/>
      <c r="AC4" s="73"/>
      <c r="AD4" s="73"/>
      <c r="AE4" s="73"/>
      <c r="AF4" s="73"/>
      <c r="AG4" s="73"/>
      <c r="AH4" s="3"/>
      <c r="AI4" s="3"/>
      <c r="AJ4" s="3"/>
    </row>
    <row r="5" spans="2:36" ht="15" customHeight="1" x14ac:dyDescent="0.25">
      <c r="B5" s="5" t="s">
        <v>109</v>
      </c>
      <c r="C5" s="45">
        <f t="shared" ref="C5:C10" si="0">IF($H$3="AF5D0501", D5*1, 0)</f>
        <v>1200</v>
      </c>
      <c r="D5" s="26">
        <v>1200</v>
      </c>
      <c r="E5" s="5" t="s">
        <v>38</v>
      </c>
      <c r="F5" s="45">
        <f>IF($H$3="AF5D0501", G5*1, 0)</f>
        <v>2.6</v>
      </c>
      <c r="G5" s="70">
        <v>2.6</v>
      </c>
      <c r="H5" s="1" t="s">
        <v>40</v>
      </c>
      <c r="J5" s="50" t="s">
        <v>17</v>
      </c>
      <c r="K5" s="31">
        <f>G4</f>
        <v>10.5</v>
      </c>
      <c r="L5" s="49" t="s">
        <v>90</v>
      </c>
      <c r="M5" s="32">
        <f>F6</f>
        <v>6000</v>
      </c>
      <c r="N5" s="50" t="s">
        <v>24</v>
      </c>
      <c r="O5" s="72">
        <f>C6*O6/C7</f>
        <v>4.2000000000000011</v>
      </c>
      <c r="R5" s="97"/>
      <c r="S5" s="99"/>
      <c r="T5" s="76"/>
      <c r="U5" s="76"/>
      <c r="V5" s="79"/>
      <c r="W5" s="76"/>
      <c r="X5" s="79"/>
      <c r="Y5" s="76"/>
      <c r="Z5" s="79"/>
      <c r="AA5" s="76"/>
      <c r="AB5" s="76"/>
      <c r="AC5" s="76"/>
      <c r="AD5" s="79"/>
      <c r="AE5" s="76"/>
      <c r="AF5" s="76"/>
      <c r="AG5" s="76"/>
      <c r="AH5" s="76"/>
      <c r="AI5" s="76"/>
      <c r="AJ5" s="3"/>
    </row>
    <row r="6" spans="2:36" ht="15" customHeight="1" x14ac:dyDescent="0.25">
      <c r="B6" s="5" t="s">
        <v>106</v>
      </c>
      <c r="C6" s="45">
        <f t="shared" si="0"/>
        <v>1920</v>
      </c>
      <c r="D6" s="26">
        <v>1920</v>
      </c>
      <c r="E6" s="5" t="s">
        <v>89</v>
      </c>
      <c r="F6" s="45">
        <f>IF($H$3="AF5D0501", G6*1, 0)</f>
        <v>6000</v>
      </c>
      <c r="G6" s="26">
        <v>6000</v>
      </c>
      <c r="H6" s="1" t="s">
        <v>42</v>
      </c>
      <c r="J6" s="50" t="s">
        <v>18</v>
      </c>
      <c r="K6" s="31">
        <f>K5/C15*C16</f>
        <v>2.6250000000000004</v>
      </c>
      <c r="L6" s="49" t="s">
        <v>23</v>
      </c>
      <c r="M6" s="53">
        <f>F6/O5/O6</f>
        <v>544.21768707482966</v>
      </c>
      <c r="N6" s="50" t="s">
        <v>25</v>
      </c>
      <c r="O6" s="72">
        <f>K6*C7/(C7*C13-C10*(C13-1))</f>
        <v>2.6250000000000004</v>
      </c>
      <c r="S6" s="99"/>
      <c r="T6" s="76"/>
      <c r="U6" s="76"/>
      <c r="V6" s="76"/>
      <c r="W6" s="76"/>
      <c r="X6" s="76"/>
      <c r="Y6" s="76"/>
      <c r="Z6" s="76"/>
      <c r="AA6" s="76"/>
      <c r="AB6" s="76"/>
      <c r="AC6" s="76"/>
      <c r="AD6" s="79"/>
      <c r="AE6" s="76"/>
      <c r="AF6" s="76"/>
      <c r="AG6" s="76"/>
      <c r="AH6" s="76"/>
      <c r="AI6" s="76"/>
      <c r="AJ6" s="3"/>
    </row>
    <row r="7" spans="2:36" ht="15" customHeight="1" x14ac:dyDescent="0.25">
      <c r="B7" s="5" t="s">
        <v>107</v>
      </c>
      <c r="C7" s="45">
        <f t="shared" si="0"/>
        <v>1200</v>
      </c>
      <c r="D7" s="26">
        <v>1200</v>
      </c>
      <c r="E7" s="5" t="s">
        <v>115</v>
      </c>
      <c r="F7" s="45">
        <f>IF($H$3="AF5D0501", G7*1, 0)</f>
        <v>4.0384615384615383</v>
      </c>
      <c r="G7" s="65">
        <f>G4/G5</f>
        <v>4.0384615384615383</v>
      </c>
      <c r="H7" s="1" t="s">
        <v>41</v>
      </c>
      <c r="J7" s="2"/>
      <c r="K7" s="2"/>
      <c r="L7" s="114"/>
      <c r="M7" s="115"/>
      <c r="N7" s="114"/>
      <c r="O7" s="114"/>
      <c r="U7" s="75"/>
      <c r="V7" s="79"/>
      <c r="W7" s="75"/>
      <c r="X7" s="80"/>
      <c r="Y7" s="75"/>
      <c r="Z7" s="80"/>
      <c r="AA7" s="75"/>
      <c r="AB7" s="76"/>
      <c r="AC7" s="75"/>
      <c r="AD7" s="79"/>
      <c r="AE7" s="75"/>
      <c r="AF7" s="76"/>
      <c r="AG7" s="75"/>
      <c r="AH7" s="76"/>
      <c r="AI7" s="75"/>
      <c r="AJ7" s="30"/>
    </row>
    <row r="8" spans="2:36" s="18" customFormat="1" ht="15" customHeight="1" x14ac:dyDescent="0.25">
      <c r="B8" s="21" t="s">
        <v>112</v>
      </c>
      <c r="C8" s="46"/>
      <c r="D8" s="22"/>
      <c r="E8" s="22" t="s">
        <v>2</v>
      </c>
      <c r="F8" s="36" t="s">
        <v>3</v>
      </c>
      <c r="G8" s="36" t="s">
        <v>3</v>
      </c>
      <c r="H8" s="23"/>
      <c r="I8" s="23"/>
      <c r="J8" s="122" t="s">
        <v>19</v>
      </c>
      <c r="K8" s="122"/>
      <c r="L8" s="122" t="s">
        <v>117</v>
      </c>
      <c r="M8" s="122"/>
      <c r="N8" s="126" t="s">
        <v>92</v>
      </c>
      <c r="O8" s="126"/>
      <c r="Q8" s="3"/>
      <c r="R8" s="97"/>
      <c r="S8" s="99"/>
      <c r="T8" s="76"/>
      <c r="U8" s="76"/>
      <c r="V8" s="79"/>
      <c r="W8" s="76"/>
      <c r="X8" s="79"/>
      <c r="Y8" s="76"/>
      <c r="Z8" s="79"/>
      <c r="AA8" s="76"/>
      <c r="AB8" s="76"/>
      <c r="AC8" s="76"/>
      <c r="AD8" s="79"/>
      <c r="AE8" s="76"/>
      <c r="AF8" s="76"/>
      <c r="AG8" s="76"/>
      <c r="AH8" s="76"/>
      <c r="AI8" s="76"/>
      <c r="AJ8" s="3"/>
    </row>
    <row r="9" spans="2:36" ht="15" customHeight="1" x14ac:dyDescent="0.25">
      <c r="B9" s="5" t="s">
        <v>4</v>
      </c>
      <c r="C9" s="45">
        <f t="shared" si="0"/>
        <v>480</v>
      </c>
      <c r="D9" s="26">
        <v>480</v>
      </c>
      <c r="E9" s="54">
        <f>C9/C6</f>
        <v>0.25</v>
      </c>
      <c r="F9" s="55" t="s">
        <v>0</v>
      </c>
      <c r="G9" s="55" t="s">
        <v>86</v>
      </c>
      <c r="J9" s="51" t="s">
        <v>51</v>
      </c>
      <c r="K9" s="71">
        <f>O5/C6*C9</f>
        <v>1.0500000000000003</v>
      </c>
      <c r="L9" s="52" t="s">
        <v>20</v>
      </c>
      <c r="M9" s="33">
        <f>C6/C7</f>
        <v>1.6</v>
      </c>
      <c r="N9" s="50" t="s">
        <v>94</v>
      </c>
      <c r="O9" s="50" t="s">
        <v>95</v>
      </c>
      <c r="P9" s="4"/>
      <c r="Q9" s="18"/>
      <c r="R9" s="18"/>
      <c r="S9" s="99"/>
      <c r="T9" s="76"/>
      <c r="U9" s="76"/>
      <c r="V9" s="76"/>
      <c r="W9" s="76"/>
      <c r="X9" s="76"/>
      <c r="Y9" s="76"/>
      <c r="Z9" s="76"/>
      <c r="AA9" s="76"/>
      <c r="AB9" s="76"/>
      <c r="AC9" s="76"/>
      <c r="AD9" s="79"/>
      <c r="AE9" s="76"/>
      <c r="AF9" s="76"/>
      <c r="AG9" s="76"/>
      <c r="AH9" s="76"/>
      <c r="AI9" s="76"/>
      <c r="AJ9" s="3"/>
    </row>
    <row r="10" spans="2:36" ht="15" customHeight="1" x14ac:dyDescent="0.25">
      <c r="B10" s="5" t="s">
        <v>5</v>
      </c>
      <c r="C10" s="45">
        <f t="shared" si="0"/>
        <v>0</v>
      </c>
      <c r="D10" s="26">
        <v>0</v>
      </c>
      <c r="E10" s="54">
        <f>C10/C7</f>
        <v>0</v>
      </c>
      <c r="F10" s="6" t="s">
        <v>1</v>
      </c>
      <c r="G10" s="6" t="s">
        <v>85</v>
      </c>
      <c r="J10" s="51" t="s">
        <v>52</v>
      </c>
      <c r="K10" s="71">
        <f>O6/C7*C10</f>
        <v>0</v>
      </c>
      <c r="L10" s="52" t="s">
        <v>53</v>
      </c>
      <c r="M10" s="33">
        <f>C15/C16</f>
        <v>4</v>
      </c>
      <c r="N10" s="31">
        <f>O5*G12</f>
        <v>3.3600000000000012</v>
      </c>
      <c r="O10" s="69">
        <f>O5*G13</f>
        <v>4.6620000000000017</v>
      </c>
      <c r="U10" s="75"/>
      <c r="V10" s="76"/>
      <c r="W10" s="75"/>
      <c r="X10" s="76"/>
      <c r="Y10" s="75"/>
      <c r="Z10" s="76"/>
      <c r="AA10" s="75"/>
      <c r="AB10" s="76"/>
      <c r="AC10" s="75"/>
      <c r="AD10" s="76"/>
      <c r="AE10" s="75"/>
      <c r="AF10" s="76"/>
      <c r="AG10" s="75"/>
      <c r="AH10" s="76"/>
      <c r="AI10" s="75"/>
    </row>
    <row r="11" spans="2:36" ht="15" customHeight="1" x14ac:dyDescent="0.25">
      <c r="C11" s="7"/>
      <c r="D11" s="128" t="s">
        <v>151</v>
      </c>
      <c r="E11" s="128"/>
      <c r="F11" s="128"/>
      <c r="G11" s="128"/>
      <c r="J11" s="127" t="s">
        <v>121</v>
      </c>
      <c r="K11" s="127"/>
      <c r="L11" s="127"/>
      <c r="M11" s="127"/>
      <c r="N11" s="127"/>
      <c r="O11" s="127"/>
      <c r="P11" s="35"/>
      <c r="R11" s="98"/>
      <c r="S11" s="99"/>
      <c r="T11" s="76"/>
      <c r="U11" s="76"/>
      <c r="V11" s="79"/>
      <c r="W11" s="76"/>
      <c r="X11" s="79"/>
      <c r="Y11" s="76"/>
      <c r="Z11" s="79"/>
      <c r="AA11" s="76"/>
      <c r="AB11" s="76"/>
      <c r="AC11" s="76"/>
      <c r="AD11" s="79"/>
      <c r="AE11" s="76"/>
      <c r="AF11" s="76"/>
      <c r="AG11" s="76"/>
      <c r="AH11" s="76"/>
      <c r="AI11" s="76"/>
    </row>
    <row r="12" spans="2:36" ht="15" customHeight="1" x14ac:dyDescent="0.25">
      <c r="B12" s="5" t="s">
        <v>110</v>
      </c>
      <c r="C12" s="45">
        <f>D12</f>
        <v>3</v>
      </c>
      <c r="D12" s="26">
        <v>3</v>
      </c>
      <c r="E12" s="67" t="s">
        <v>113</v>
      </c>
      <c r="F12" s="68"/>
      <c r="G12" s="70">
        <v>0.8</v>
      </c>
      <c r="J12" s="129" t="s">
        <v>125</v>
      </c>
      <c r="K12" s="129"/>
      <c r="L12" s="129"/>
      <c r="M12" s="129"/>
      <c r="N12" s="129"/>
      <c r="O12" s="129"/>
      <c r="S12" s="99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9"/>
      <c r="AE12" s="76"/>
      <c r="AF12" s="76"/>
      <c r="AG12" s="76"/>
      <c r="AH12" s="76"/>
      <c r="AI12" s="76"/>
    </row>
    <row r="13" spans="2:36" ht="15" customHeight="1" x14ac:dyDescent="0.25">
      <c r="B13" s="5" t="s">
        <v>111</v>
      </c>
      <c r="C13" s="45">
        <f>D13</f>
        <v>1</v>
      </c>
      <c r="D13" s="26">
        <v>1</v>
      </c>
      <c r="E13" s="67" t="s">
        <v>114</v>
      </c>
      <c r="F13" s="5"/>
      <c r="G13" s="70">
        <v>1.1100000000000001</v>
      </c>
      <c r="H13" s="29"/>
      <c r="I13" s="29"/>
      <c r="J13" s="1" t="s">
        <v>118</v>
      </c>
      <c r="Q13" s="37"/>
      <c r="R13" s="37"/>
      <c r="S13" s="37"/>
      <c r="T13" s="37"/>
      <c r="U13" s="75"/>
      <c r="W13" s="75"/>
      <c r="Y13" s="75"/>
      <c r="AA13" s="75"/>
      <c r="AB13" s="3"/>
      <c r="AC13" s="75"/>
      <c r="AE13" s="75"/>
      <c r="AG13" s="75"/>
      <c r="AI13" s="75"/>
    </row>
    <row r="14" spans="2:36" ht="15" customHeight="1" x14ac:dyDescent="0.25">
      <c r="B14" s="25" t="s">
        <v>6</v>
      </c>
      <c r="C14" s="2"/>
      <c r="E14" s="2" t="s">
        <v>134</v>
      </c>
      <c r="F14" s="4"/>
      <c r="G14" s="4"/>
      <c r="H14" s="4"/>
      <c r="I14" s="4"/>
      <c r="J14" s="2" t="s">
        <v>83</v>
      </c>
      <c r="K14" s="4"/>
      <c r="L14" s="4"/>
      <c r="M14" s="4"/>
      <c r="O14" s="4"/>
      <c r="Q14" s="37"/>
      <c r="R14" s="37"/>
      <c r="S14" s="37"/>
      <c r="T14" s="37"/>
      <c r="U14" s="37"/>
      <c r="V14" s="117"/>
      <c r="W14" s="117"/>
      <c r="X14" s="117"/>
      <c r="Y14" s="4"/>
      <c r="Z14" s="4"/>
      <c r="AA14" s="3"/>
      <c r="AB14" s="3"/>
      <c r="AC14" s="3"/>
    </row>
    <row r="15" spans="2:36" s="2" customFormat="1" ht="15" customHeight="1" x14ac:dyDescent="0.25">
      <c r="B15" s="49" t="s">
        <v>49</v>
      </c>
      <c r="C15" s="50">
        <f>C6*C12-(C12-1)*C9</f>
        <v>4800</v>
      </c>
      <c r="D15" s="32">
        <f>C15</f>
        <v>4800</v>
      </c>
      <c r="E15" s="2" t="s">
        <v>152</v>
      </c>
      <c r="F15" s="7"/>
      <c r="G15" s="7"/>
      <c r="H15" s="7"/>
      <c r="I15" s="7"/>
      <c r="J15" s="1" t="s">
        <v>84</v>
      </c>
      <c r="K15" s="1"/>
      <c r="L15" s="1"/>
      <c r="M15" s="1"/>
      <c r="N15" s="1"/>
      <c r="O15" s="1"/>
      <c r="P15" s="3"/>
      <c r="Q15" s="3"/>
      <c r="R15" s="37"/>
      <c r="S15" s="37"/>
      <c r="T15" s="37"/>
      <c r="U15" s="37"/>
      <c r="V15" s="4"/>
      <c r="W15" s="4"/>
      <c r="X15" s="4"/>
      <c r="Y15" s="4"/>
      <c r="Z15" s="4"/>
      <c r="AA15" s="9"/>
      <c r="AB15" s="9"/>
      <c r="AC15" s="9"/>
    </row>
    <row r="16" spans="2:36" s="2" customFormat="1" ht="15" customHeight="1" x14ac:dyDescent="0.25">
      <c r="B16" s="49" t="s">
        <v>50</v>
      </c>
      <c r="C16" s="50">
        <f xml:space="preserve"> C7*C13-(C13-1)*C10</f>
        <v>1200</v>
      </c>
      <c r="D16" s="53">
        <f>(D7*D13)-D10*(D13-1)</f>
        <v>1200</v>
      </c>
      <c r="E16" s="2" t="s">
        <v>135</v>
      </c>
      <c r="F16" s="7"/>
      <c r="G16" s="7"/>
      <c r="H16" s="7"/>
      <c r="I16" s="7"/>
      <c r="J16" s="1" t="s">
        <v>21</v>
      </c>
      <c r="K16" s="18"/>
      <c r="L16" s="18"/>
      <c r="M16" s="18"/>
      <c r="N16" s="18"/>
      <c r="O16" s="18"/>
      <c r="P16" s="18"/>
      <c r="Q16" s="18"/>
      <c r="V16" s="4"/>
      <c r="W16" s="1"/>
      <c r="X16" s="1"/>
      <c r="Y16" s="1"/>
      <c r="Z16" s="1"/>
      <c r="AA16" s="1"/>
      <c r="AB16" s="9"/>
      <c r="AC16" s="9"/>
    </row>
    <row r="17" spans="2:39" s="2" customFormat="1" ht="17.25" customHeight="1" x14ac:dyDescent="0.25">
      <c r="B17" s="49" t="s">
        <v>7</v>
      </c>
      <c r="C17" s="56">
        <f>C4/(C6*C12-(C12-1)*C9)*C9/C12</f>
        <v>128</v>
      </c>
      <c r="D17" s="56">
        <f>C17</f>
        <v>128</v>
      </c>
      <c r="E17" s="2" t="s">
        <v>153</v>
      </c>
      <c r="F17" s="7"/>
      <c r="G17" s="7"/>
      <c r="H17" s="7"/>
      <c r="I17" s="7"/>
      <c r="J17" s="1" t="s">
        <v>119</v>
      </c>
      <c r="K17" s="1"/>
      <c r="L17" s="1"/>
      <c r="M17" s="1"/>
      <c r="N17" s="1"/>
      <c r="O17" s="1"/>
      <c r="P17" s="3"/>
      <c r="Q17" s="3"/>
      <c r="V17" s="4"/>
      <c r="W17" s="37"/>
      <c r="X17" s="1"/>
      <c r="Y17" s="1"/>
      <c r="AB17" s="9"/>
      <c r="AC17" s="131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</row>
    <row r="18" spans="2:39" s="2" customFormat="1" ht="15" customHeight="1" x14ac:dyDescent="0.25">
      <c r="B18" s="49" t="s">
        <v>8</v>
      </c>
      <c r="C18" s="56">
        <f>C5/(C7*C13-(C13-1)*C10)*C10/C13</f>
        <v>0</v>
      </c>
      <c r="D18" s="56">
        <f>C18</f>
        <v>0</v>
      </c>
      <c r="E18" s="101" t="s">
        <v>154</v>
      </c>
      <c r="F18" s="12"/>
      <c r="G18" s="12"/>
      <c r="H18" s="13"/>
      <c r="I18" s="13"/>
      <c r="J18" s="2" t="s">
        <v>138</v>
      </c>
      <c r="K18" s="1"/>
      <c r="L18" s="1"/>
      <c r="M18" s="1"/>
      <c r="N18" s="1"/>
      <c r="O18" s="1"/>
      <c r="P18" s="3"/>
      <c r="Q18" s="3"/>
      <c r="V18" s="1"/>
      <c r="W18" s="1"/>
      <c r="X18" s="1"/>
      <c r="Y18" s="1"/>
      <c r="Z18" s="82"/>
      <c r="AA18" s="81"/>
      <c r="AB18" s="9"/>
      <c r="AC18" s="131"/>
      <c r="AD18" s="130"/>
      <c r="AE18" s="130"/>
      <c r="AF18" s="84"/>
      <c r="AG18" s="84"/>
      <c r="AH18" s="84"/>
      <c r="AI18" s="84"/>
      <c r="AJ18" s="84"/>
      <c r="AK18" s="84"/>
      <c r="AL18" s="84"/>
      <c r="AM18" s="84"/>
    </row>
    <row r="19" spans="2:39" s="101" customFormat="1" ht="21" customHeight="1" x14ac:dyDescent="0.25">
      <c r="C19" s="102"/>
      <c r="D19" s="102"/>
      <c r="H19" s="103"/>
      <c r="I19" s="103"/>
      <c r="J19" s="132"/>
      <c r="K19" s="132"/>
      <c r="L19" s="132"/>
      <c r="M19" s="132"/>
      <c r="N19" s="132"/>
      <c r="O19" s="132"/>
      <c r="P19" s="18"/>
      <c r="Q19" s="18"/>
      <c r="V19" s="18"/>
      <c r="W19" s="18"/>
      <c r="X19" s="18"/>
      <c r="Y19" s="18"/>
      <c r="Z19" s="104"/>
      <c r="AA19" s="105"/>
      <c r="AB19" s="106"/>
      <c r="AC19" s="107"/>
      <c r="AD19" s="108"/>
      <c r="AE19" s="108"/>
      <c r="AF19" s="107"/>
      <c r="AG19" s="107"/>
      <c r="AH19" s="107"/>
      <c r="AI19" s="107"/>
      <c r="AJ19" s="107"/>
      <c r="AK19" s="107"/>
      <c r="AL19" s="107"/>
      <c r="AM19" s="107"/>
    </row>
    <row r="20" spans="2:39" s="2" customFormat="1" ht="15" customHeight="1" x14ac:dyDescent="0.25">
      <c r="B20" s="25" t="s">
        <v>9</v>
      </c>
      <c r="C20" s="47"/>
      <c r="D20" s="10"/>
      <c r="J20" s="1"/>
      <c r="P20" s="9"/>
      <c r="Q20" s="9"/>
      <c r="R20" s="9"/>
      <c r="S20" s="9"/>
      <c r="T20" s="9"/>
      <c r="U20" s="9"/>
      <c r="W20" s="37"/>
      <c r="X20" s="1"/>
      <c r="Y20" s="1"/>
      <c r="Z20" s="82"/>
      <c r="AA20" s="81"/>
      <c r="AC20" s="83"/>
      <c r="AD20" s="85"/>
      <c r="AE20" s="85"/>
      <c r="AF20" s="84"/>
      <c r="AG20" s="84"/>
      <c r="AH20" s="84"/>
      <c r="AI20" s="84"/>
      <c r="AJ20" s="84"/>
      <c r="AK20" s="84"/>
      <c r="AL20" s="84"/>
      <c r="AM20" s="84"/>
    </row>
    <row r="21" spans="2:39" s="2" customFormat="1" ht="16.5" customHeight="1" x14ac:dyDescent="0.25">
      <c r="B21" s="50" t="s">
        <v>144</v>
      </c>
      <c r="C21" s="50">
        <v>1</v>
      </c>
      <c r="D21" s="50">
        <f>C21</f>
        <v>1</v>
      </c>
      <c r="E21" s="50">
        <v>2</v>
      </c>
      <c r="F21" s="50">
        <v>3</v>
      </c>
      <c r="G21" s="56">
        <f>F21</f>
        <v>3</v>
      </c>
      <c r="H21" s="124">
        <v>4</v>
      </c>
      <c r="I21" s="124"/>
      <c r="J21" s="50">
        <v>5</v>
      </c>
      <c r="K21" s="50">
        <v>6</v>
      </c>
      <c r="L21" s="50">
        <v>7</v>
      </c>
      <c r="M21" s="50">
        <v>8</v>
      </c>
      <c r="N21" s="50">
        <v>9</v>
      </c>
      <c r="O21" s="50">
        <v>10</v>
      </c>
      <c r="P21" s="51">
        <v>11</v>
      </c>
      <c r="Q21" s="51">
        <v>12</v>
      </c>
      <c r="R21" s="51">
        <v>13</v>
      </c>
      <c r="S21" s="51">
        <v>14</v>
      </c>
      <c r="T21" s="51">
        <v>15</v>
      </c>
      <c r="U21" s="77"/>
      <c r="W21" s="1"/>
      <c r="X21" s="1"/>
      <c r="Y21" s="1"/>
      <c r="Z21" s="82"/>
      <c r="AA21" s="81"/>
      <c r="AC21" s="78"/>
      <c r="AD21" s="85"/>
      <c r="AE21" s="85"/>
      <c r="AF21" s="84"/>
      <c r="AG21" s="84"/>
      <c r="AH21" s="84"/>
      <c r="AI21" s="84"/>
      <c r="AJ21" s="84"/>
      <c r="AK21" s="84"/>
      <c r="AL21" s="84"/>
      <c r="AM21" s="84"/>
    </row>
    <row r="22" spans="2:39" s="2" customFormat="1" ht="16.5" customHeight="1" x14ac:dyDescent="0.25">
      <c r="B22" s="50" t="s">
        <v>146</v>
      </c>
      <c r="C22" s="41">
        <f>IF(C12&gt;=C21,(C21-1)*C17,"x")</f>
        <v>0</v>
      </c>
      <c r="D22" s="56">
        <f t="shared" ref="D22:D28" si="1">C22</f>
        <v>0</v>
      </c>
      <c r="E22" s="56">
        <f>IF(C12&gt;=E21,(E21-1)*C17,"x")</f>
        <v>128</v>
      </c>
      <c r="F22" s="56">
        <f>IF(C12&gt;=F21,(F21-1)*C17,"x")</f>
        <v>256</v>
      </c>
      <c r="G22" s="56">
        <f t="shared" ref="G22:G28" si="2">F22</f>
        <v>256</v>
      </c>
      <c r="H22" s="125" t="str">
        <f>IF(C12&gt;=H21,(H21-1)*C17,"x")</f>
        <v>x</v>
      </c>
      <c r="I22" s="125"/>
      <c r="J22" s="56" t="str">
        <f>IF(C12&gt;=J21,(J21-1)*C17,"x")</f>
        <v>x</v>
      </c>
      <c r="K22" s="56" t="str">
        <f>IF(C12&gt;=K21,(K21-1)*C17,"x")</f>
        <v>x</v>
      </c>
      <c r="L22" s="56" t="str">
        <f>IF(C12&gt;=L21,(L21-1)*C17,"x")</f>
        <v>x</v>
      </c>
      <c r="M22" s="56" t="str">
        <f>IF(C12&gt;=M21,(M21-1)*C17,"x")</f>
        <v>x</v>
      </c>
      <c r="N22" s="56" t="str">
        <f>IF(C12&gt;=N21,(N21-1)*C17,"x")</f>
        <v>x</v>
      </c>
      <c r="O22" s="56" t="str">
        <f>IF(C12&gt;=O21,(O21-1)*C17,"x")</f>
        <v>x</v>
      </c>
      <c r="P22" s="56" t="str">
        <f>IF(C12&gt;=P21,(P21-1)*C17,"x")</f>
        <v>x</v>
      </c>
      <c r="Q22" s="56" t="str">
        <f>IF(C12&gt;=Q21,(Q21-1)*C17,"x")</f>
        <v>x</v>
      </c>
      <c r="R22" s="56" t="str">
        <f>IF(C12&gt;=R21,(R21-1)*C17,"x")</f>
        <v>x</v>
      </c>
      <c r="S22" s="56" t="str">
        <f>IF(C12&gt;=S21,(S21-1)*C17,"x")</f>
        <v>x</v>
      </c>
      <c r="T22" s="56" t="str">
        <f>IF(C12&gt;=T21,(T21-1)*C17,"x")</f>
        <v>x</v>
      </c>
      <c r="U22" s="11"/>
      <c r="W22" s="37"/>
      <c r="X22" s="1"/>
      <c r="Y22" s="1"/>
      <c r="Z22" s="81"/>
      <c r="AA22" s="81"/>
    </row>
    <row r="23" spans="2:39" s="2" customFormat="1" ht="17.25" customHeight="1" x14ac:dyDescent="0.25">
      <c r="B23" s="50" t="s">
        <v>147</v>
      </c>
      <c r="C23" s="41">
        <f>IF(C12&gt;=C21,(C12-C21)*C17,"x")</f>
        <v>256</v>
      </c>
      <c r="D23" s="56">
        <f t="shared" si="1"/>
        <v>256</v>
      </c>
      <c r="E23" s="56">
        <f>IF(C12&gt;=E21,(C12-E21)*C17,"x")</f>
        <v>128</v>
      </c>
      <c r="F23" s="56">
        <f>IF(C12&gt;=F21,(C12-F21)*C17,"x")</f>
        <v>0</v>
      </c>
      <c r="G23" s="56">
        <f t="shared" si="2"/>
        <v>0</v>
      </c>
      <c r="H23" s="125" t="str">
        <f>IF(C12&gt;=H21,(C12-H21)*C17,"x")</f>
        <v>x</v>
      </c>
      <c r="I23" s="125"/>
      <c r="J23" s="56" t="str">
        <f>IF(C12&gt;=J21,(C12-J21)*C17,"x")</f>
        <v>x</v>
      </c>
      <c r="K23" s="56" t="str">
        <f>IF(C12&gt;=K21,(C12-K21)*C17,"x")</f>
        <v>x</v>
      </c>
      <c r="L23" s="56" t="str">
        <f>IF(C12&gt;=L21,(C12-L21)*C17,"x")</f>
        <v>x</v>
      </c>
      <c r="M23" s="56" t="str">
        <f>IF(C12&gt;=M21,(C12-M21)*C17,"x")</f>
        <v>x</v>
      </c>
      <c r="N23" s="56" t="str">
        <f>IF(C12&gt;=N21,(C12-N21)*C17,"x")</f>
        <v>x</v>
      </c>
      <c r="O23" s="56" t="str">
        <f>IF(C12&gt;=O21,(C12-O21)*C17,"x")</f>
        <v>x</v>
      </c>
      <c r="P23" s="56" t="str">
        <f>IF(C12&gt;=P21,(C12-P21)*C17,"x")</f>
        <v>x</v>
      </c>
      <c r="Q23" s="56" t="str">
        <f>IF(C12&gt;=Q21,(C12-Q21)*C17,"x")</f>
        <v>x</v>
      </c>
      <c r="R23" s="56" t="str">
        <f>IF(C12&gt;=R21,(C12-R21)*C17,"x")</f>
        <v>x</v>
      </c>
      <c r="S23" s="56" t="str">
        <f>IF(C12&gt;=S21,(C12-S21)*C17,"x")</f>
        <v>x</v>
      </c>
      <c r="T23" s="56" t="str">
        <f>IF(C12&gt;=T21,(C12-T21)*C17,"x")</f>
        <v>x</v>
      </c>
      <c r="U23" s="11"/>
      <c r="W23" s="1"/>
      <c r="X23" s="1"/>
      <c r="Y23" s="1"/>
      <c r="Z23" s="81"/>
      <c r="AA23" s="81"/>
    </row>
    <row r="24" spans="2:39" s="2" customFormat="1" ht="17.25" customHeight="1" x14ac:dyDescent="0.25">
      <c r="B24" s="42" t="s">
        <v>137</v>
      </c>
      <c r="C24" s="11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1"/>
      <c r="W24" s="1"/>
      <c r="X24" s="1"/>
      <c r="Y24" s="1"/>
      <c r="Z24" s="81"/>
      <c r="AA24" s="81"/>
    </row>
    <row r="25" spans="2:39" s="2" customFormat="1" x14ac:dyDescent="0.25">
      <c r="B25" s="2" t="s">
        <v>136</v>
      </c>
      <c r="G25" s="61"/>
      <c r="P25" s="9"/>
      <c r="Q25" s="9"/>
      <c r="R25" s="9"/>
      <c r="S25" s="9"/>
      <c r="T25" s="9"/>
      <c r="U25" s="9"/>
      <c r="W25" s="37"/>
      <c r="X25" s="1"/>
      <c r="Y25" s="1"/>
      <c r="Z25" s="81"/>
      <c r="AA25" s="81"/>
    </row>
    <row r="26" spans="2:39" s="2" customFormat="1" ht="16.5" customHeight="1" x14ac:dyDescent="0.25">
      <c r="B26" s="50" t="s">
        <v>145</v>
      </c>
      <c r="C26" s="50">
        <v>1</v>
      </c>
      <c r="D26" s="50">
        <f t="shared" si="1"/>
        <v>1</v>
      </c>
      <c r="E26" s="50">
        <v>2</v>
      </c>
      <c r="F26" s="50">
        <v>3</v>
      </c>
      <c r="G26" s="56">
        <f t="shared" si="2"/>
        <v>3</v>
      </c>
      <c r="H26" s="124">
        <v>4</v>
      </c>
      <c r="I26" s="124"/>
      <c r="J26" s="50">
        <v>5</v>
      </c>
      <c r="K26" s="50">
        <v>6</v>
      </c>
      <c r="L26" s="50">
        <v>7</v>
      </c>
      <c r="M26" s="50">
        <v>8</v>
      </c>
      <c r="N26" s="50">
        <v>9</v>
      </c>
      <c r="O26" s="50">
        <v>10</v>
      </c>
      <c r="P26" s="51">
        <v>11</v>
      </c>
      <c r="Q26" s="51">
        <v>12</v>
      </c>
      <c r="R26" s="51">
        <v>13</v>
      </c>
      <c r="S26" s="51">
        <v>14</v>
      </c>
      <c r="T26" s="51">
        <v>15</v>
      </c>
      <c r="U26" s="77"/>
      <c r="W26" s="1"/>
      <c r="X26" s="1"/>
      <c r="Y26" s="1"/>
      <c r="Z26" s="81"/>
      <c r="AA26" s="81"/>
    </row>
    <row r="27" spans="2:39" s="2" customFormat="1" ht="16.5" customHeight="1" x14ac:dyDescent="0.25">
      <c r="B27" s="50" t="s">
        <v>148</v>
      </c>
      <c r="C27" s="41">
        <f>IF(C13&gt;=C26,(C26-1)*C18,"x")</f>
        <v>0</v>
      </c>
      <c r="D27" s="56">
        <f t="shared" si="1"/>
        <v>0</v>
      </c>
      <c r="E27" s="56" t="str">
        <f>IF(C13&gt;=E26,(E26-1)*C18,"x")</f>
        <v>x</v>
      </c>
      <c r="F27" s="56" t="str">
        <f>IF(C13&gt;=F26,(F26-1)*C18,"x")</f>
        <v>x</v>
      </c>
      <c r="G27" s="56" t="str">
        <f t="shared" si="2"/>
        <v>x</v>
      </c>
      <c r="H27" s="125" t="str">
        <f>IF(C13&gt;=H26,(H26-1)*C18,"x")</f>
        <v>x</v>
      </c>
      <c r="I27" s="125"/>
      <c r="J27" s="56" t="str">
        <f>IF(C13&gt;=J26,(J26-1)*C18,"x")</f>
        <v>x</v>
      </c>
      <c r="K27" s="56" t="str">
        <f>IF(C13&gt;=K26,(K26-1)*C18,"x")</f>
        <v>x</v>
      </c>
      <c r="L27" s="56" t="str">
        <f>IF(C13&gt;=L26,(L26-1)*C18,"x")</f>
        <v>x</v>
      </c>
      <c r="M27" s="56" t="str">
        <f>IF(C13&gt;=M26,(M26-1)*C18,"x")</f>
        <v>x</v>
      </c>
      <c r="N27" s="56" t="str">
        <f>IF(C13&gt;=N26,(N26-1)*C18,"x")</f>
        <v>x</v>
      </c>
      <c r="O27" s="56" t="str">
        <f>IF(C13&gt;=O26,(O26-1)*C18,"x")</f>
        <v>x</v>
      </c>
      <c r="P27" s="56" t="str">
        <f>IF(C13&gt;=P26,(P26-1)*C18,"x")</f>
        <v>x</v>
      </c>
      <c r="Q27" s="56" t="str">
        <f>IF(C13&gt;=Q26,(Q26-1)*C18,"x")</f>
        <v>x</v>
      </c>
      <c r="R27" s="56" t="str">
        <f>IF(C13&gt;=R26,(R26-1)*C18,"x")</f>
        <v>x</v>
      </c>
      <c r="S27" s="56" t="str">
        <f>IF(C13&gt;=S26,(S26-1)*C18,"x")</f>
        <v>x</v>
      </c>
      <c r="T27" s="56" t="str">
        <f>IF(C13&gt;=T26,(T26-1)*C18,"x")</f>
        <v>x</v>
      </c>
      <c r="U27" s="11"/>
      <c r="W27" s="1"/>
      <c r="X27" s="1"/>
      <c r="Y27" s="1"/>
      <c r="Z27" s="81"/>
      <c r="AA27" s="81"/>
    </row>
    <row r="28" spans="2:39" s="2" customFormat="1" ht="17.25" customHeight="1" x14ac:dyDescent="0.25">
      <c r="B28" s="50" t="s">
        <v>156</v>
      </c>
      <c r="C28" s="41">
        <f>IF(C13&gt;=C26,(C13-C26)*C18,"x")</f>
        <v>0</v>
      </c>
      <c r="D28" s="56">
        <f t="shared" si="1"/>
        <v>0</v>
      </c>
      <c r="E28" s="56" t="str">
        <f>IF(C13&gt;=E26,(C13-E26)*C18,"x")</f>
        <v>x</v>
      </c>
      <c r="F28" s="56" t="str">
        <f>IF(C13&gt;=F26,(C13-F26)*C18,"x")</f>
        <v>x</v>
      </c>
      <c r="G28" s="56" t="str">
        <f t="shared" si="2"/>
        <v>x</v>
      </c>
      <c r="H28" s="125" t="str">
        <f>IF(C13&gt;=H26,(C13-H26)*C18,"x")</f>
        <v>x</v>
      </c>
      <c r="I28" s="125"/>
      <c r="J28" s="56" t="str">
        <f>IF(C13&gt;=J26,(C13-J26)*C18,"x")</f>
        <v>x</v>
      </c>
      <c r="K28" s="56" t="str">
        <f>IF(C13&gt;=K26,(C13-K26)*C18,"x")</f>
        <v>x</v>
      </c>
      <c r="L28" s="56" t="str">
        <f>IF(C13&gt;=L26,(C13-L26)*C18,"x")</f>
        <v>x</v>
      </c>
      <c r="M28" s="56" t="str">
        <f>IF(C13&gt;=M26,(C13-M26)*C18,"x")</f>
        <v>x</v>
      </c>
      <c r="N28" s="56" t="str">
        <f>IF(C13&gt;=N26,(C13-N26)*C18,"x")</f>
        <v>x</v>
      </c>
      <c r="O28" s="56" t="str">
        <f>IF(C13&gt;=O26,(C13-O26)*C18,"x")</f>
        <v>x</v>
      </c>
      <c r="P28" s="56" t="str">
        <f>IF(C13&gt;=P26,(C13-P26)*C18,"x")</f>
        <v>x</v>
      </c>
      <c r="Q28" s="56" t="str">
        <f>IF(C13&gt;=Q26,(C13-Q26)*C18,"x")</f>
        <v>x</v>
      </c>
      <c r="R28" s="56" t="str">
        <f>IF(C13&gt;=R26,(C13-R26)*C18,"x")</f>
        <v>x</v>
      </c>
      <c r="S28" s="56" t="str">
        <f>IF(C13&gt;=S26,(C13-S26)*C18,"x")</f>
        <v>x</v>
      </c>
      <c r="T28" s="56" t="str">
        <f>IF(C13&gt;=T26,(C13-T26)*C18,"x")</f>
        <v>x</v>
      </c>
      <c r="U28" s="11"/>
      <c r="W28" s="1"/>
      <c r="X28" s="1"/>
      <c r="Y28" s="1"/>
      <c r="Z28" s="81"/>
      <c r="AA28" s="81"/>
    </row>
    <row r="29" spans="2:39" x14ac:dyDescent="0.25">
      <c r="C29" s="2"/>
      <c r="W29" s="37"/>
      <c r="Z29" s="81"/>
      <c r="AA29" s="81"/>
    </row>
    <row r="30" spans="2:39" ht="16.5" x14ac:dyDescent="0.3">
      <c r="B30" s="27" t="s">
        <v>10</v>
      </c>
      <c r="C30" s="48"/>
      <c r="D30" s="23"/>
      <c r="E30" s="28"/>
      <c r="F30" s="18"/>
      <c r="G30" s="18"/>
      <c r="H30" s="19"/>
      <c r="I30" s="19"/>
      <c r="J30" s="18"/>
      <c r="M30" s="8" t="s">
        <v>122</v>
      </c>
      <c r="P30" s="1"/>
      <c r="Z30" s="81"/>
      <c r="AA30" s="81"/>
    </row>
    <row r="31" spans="2:39" ht="17.25" customHeight="1" x14ac:dyDescent="0.25">
      <c r="B31" s="6" t="s">
        <v>11</v>
      </c>
      <c r="C31" s="57" t="s">
        <v>14</v>
      </c>
      <c r="D31" s="57" t="s">
        <v>14</v>
      </c>
      <c r="E31" s="58" t="s">
        <v>15</v>
      </c>
      <c r="F31" s="58" t="s">
        <v>16</v>
      </c>
      <c r="G31" s="56" t="str">
        <f>F31</f>
        <v>Height (inch)</v>
      </c>
      <c r="H31" s="134" t="s">
        <v>35</v>
      </c>
      <c r="I31" s="134"/>
      <c r="J31" s="58" t="s">
        <v>36</v>
      </c>
      <c r="M31" s="1" t="s">
        <v>123</v>
      </c>
      <c r="P31" s="1"/>
    </row>
    <row r="32" spans="2:39" ht="16.5" customHeight="1" x14ac:dyDescent="0.25">
      <c r="B32" s="6" t="s">
        <v>12</v>
      </c>
      <c r="C32" s="45">
        <f>IF($H$3="AF5D0501", D32*1, 0)</f>
        <v>130</v>
      </c>
      <c r="D32" s="17">
        <v>130</v>
      </c>
      <c r="E32" s="59">
        <f>SQRT(D32*D32*256/337)</f>
        <v>113.30481982619141</v>
      </c>
      <c r="F32" s="59">
        <f>D32*0.49</f>
        <v>63.699999999999996</v>
      </c>
      <c r="G32" s="59">
        <f>F32</f>
        <v>63.699999999999996</v>
      </c>
      <c r="H32" s="135">
        <f>E32*2.54/100</f>
        <v>2.8779424235852615</v>
      </c>
      <c r="I32" s="135"/>
      <c r="J32" s="59">
        <f>F32*2.54/100</f>
        <v>1.61798</v>
      </c>
      <c r="P32" s="1"/>
    </row>
    <row r="33" spans="2:17" ht="17.25" customHeight="1" x14ac:dyDescent="0.25">
      <c r="B33" s="6" t="s">
        <v>13</v>
      </c>
      <c r="C33" s="45">
        <f>IF($H$3="AF5D0501", D33*1, 0)</f>
        <v>120</v>
      </c>
      <c r="D33" s="17">
        <v>120</v>
      </c>
      <c r="E33" s="59">
        <f>SQRT(D33*D33*16/25)</f>
        <v>96</v>
      </c>
      <c r="F33" s="59">
        <f>E33/4*3</f>
        <v>72</v>
      </c>
      <c r="G33" s="59">
        <f>F33</f>
        <v>72</v>
      </c>
      <c r="H33" s="135">
        <f>E33*2.54/100</f>
        <v>2.4384000000000001</v>
      </c>
      <c r="I33" s="135"/>
      <c r="J33" s="59">
        <f>F33*2.54/100</f>
        <v>1.8288</v>
      </c>
      <c r="P33" s="1"/>
    </row>
    <row r="34" spans="2:17" x14ac:dyDescent="0.25">
      <c r="B34" s="50" t="s">
        <v>93</v>
      </c>
      <c r="C34" s="45">
        <f>IF($H$3="AF5D0501", D34*1, 0)</f>
        <v>150</v>
      </c>
      <c r="D34" s="116">
        <v>150</v>
      </c>
      <c r="E34" s="59">
        <f>SQRT(D34*D34*256/356)</f>
        <v>127.19974560076319</v>
      </c>
      <c r="F34" s="59"/>
      <c r="G34" s="59">
        <f>E34/16*10</f>
        <v>79.499841000476991</v>
      </c>
      <c r="H34" s="135">
        <f>E34*2.54/100</f>
        <v>3.2308735382593854</v>
      </c>
      <c r="I34" s="135"/>
      <c r="J34" s="59">
        <f>G34*2.54/100</f>
        <v>2.0192959614121158</v>
      </c>
    </row>
    <row r="35" spans="2:17" x14ac:dyDescent="0.25">
      <c r="J35" s="62"/>
      <c r="K35" s="62"/>
      <c r="L35" s="62"/>
      <c r="M35" s="62"/>
      <c r="N35" s="62"/>
      <c r="O35" s="62"/>
      <c r="P35" s="62"/>
      <c r="Q35" s="62"/>
    </row>
    <row r="36" spans="2:17" ht="16.5" x14ac:dyDescent="0.25">
      <c r="B36" s="24" t="s">
        <v>143</v>
      </c>
      <c r="C36" s="24"/>
      <c r="D36" s="24"/>
      <c r="M36" s="37"/>
      <c r="N36" s="62"/>
      <c r="O36" s="62"/>
      <c r="P36" s="62"/>
      <c r="Q36" s="62"/>
    </row>
    <row r="37" spans="2:17" ht="18" customHeight="1" x14ac:dyDescent="0.25">
      <c r="B37" s="118" t="s">
        <v>44</v>
      </c>
      <c r="C37" s="118"/>
      <c r="D37" s="118" t="s">
        <v>26</v>
      </c>
      <c r="E37" s="118"/>
      <c r="F37" s="6"/>
      <c r="G37" s="118" t="s">
        <v>27</v>
      </c>
      <c r="H37" s="118"/>
      <c r="I37" s="119"/>
      <c r="J37" s="120"/>
      <c r="K37" s="117"/>
      <c r="L37" s="117"/>
      <c r="M37" s="117"/>
      <c r="N37" s="62"/>
      <c r="O37" s="62"/>
      <c r="P37" s="62"/>
      <c r="Q37" s="62"/>
    </row>
    <row r="38" spans="2:17" ht="18" customHeight="1" x14ac:dyDescent="0.25">
      <c r="B38" s="118" t="s">
        <v>28</v>
      </c>
      <c r="C38" s="118"/>
      <c r="D38" s="118" t="s">
        <v>29</v>
      </c>
      <c r="E38" s="118"/>
      <c r="F38" s="6"/>
      <c r="G38" s="118" t="s">
        <v>155</v>
      </c>
      <c r="H38" s="118"/>
      <c r="I38" s="119"/>
      <c r="J38" s="120"/>
      <c r="K38" s="117"/>
      <c r="L38" s="117"/>
      <c r="M38" s="117"/>
    </row>
    <row r="39" spans="2:17" x14ac:dyDescent="0.25">
      <c r="B39" s="117"/>
      <c r="C39" s="117"/>
      <c r="D39" s="117"/>
      <c r="E39" s="117"/>
      <c r="F39" s="4"/>
      <c r="G39" s="117"/>
      <c r="H39" s="117"/>
      <c r="I39" s="117"/>
      <c r="J39" s="117"/>
      <c r="K39" s="117"/>
      <c r="L39" s="117"/>
      <c r="M39" s="117"/>
    </row>
    <row r="40" spans="2:17" x14ac:dyDescent="0.25">
      <c r="B40" s="1" t="s">
        <v>158</v>
      </c>
      <c r="F40" s="4"/>
      <c r="G40" s="4"/>
      <c r="J40" s="4"/>
      <c r="K40" s="4"/>
      <c r="L40" s="4"/>
      <c r="M40" s="4"/>
    </row>
    <row r="41" spans="2:17" x14ac:dyDescent="0.25">
      <c r="B41" s="1" t="s">
        <v>157</v>
      </c>
    </row>
    <row r="43" spans="2:17" ht="16.5" x14ac:dyDescent="0.25">
      <c r="C43" s="64"/>
      <c r="D43" s="20" t="s">
        <v>81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</row>
    <row r="44" spans="2:17" ht="16.5" x14ac:dyDescent="0.25">
      <c r="C44" s="64"/>
      <c r="D44" s="20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</row>
    <row r="45" spans="2:17" ht="16.5" x14ac:dyDescent="0.25">
      <c r="C45" s="64"/>
      <c r="D45" s="20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</row>
    <row r="46" spans="2:17" ht="16.5" x14ac:dyDescent="0.25">
      <c r="C46" s="64"/>
      <c r="D46" s="20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</row>
    <row r="47" spans="2:17" ht="16.5" x14ac:dyDescent="0.25">
      <c r="C47" s="64"/>
      <c r="D47" s="20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</row>
    <row r="48" spans="2:17" ht="16.5" x14ac:dyDescent="0.25">
      <c r="C48" s="64"/>
      <c r="D48" s="20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</row>
    <row r="49" spans="3:27" ht="16.5" x14ac:dyDescent="0.25">
      <c r="C49" s="64"/>
      <c r="D49" s="20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</row>
    <row r="50" spans="3:27" ht="16.5" x14ac:dyDescent="0.25">
      <c r="C50" s="64"/>
      <c r="D50" s="20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</row>
    <row r="51" spans="3:27" ht="16.5" x14ac:dyDescent="0.25">
      <c r="C51" s="64"/>
      <c r="D51" s="20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</row>
    <row r="52" spans="3:27" ht="15.75" x14ac:dyDescent="0.25">
      <c r="D52" s="109"/>
    </row>
    <row r="53" spans="3:27" x14ac:dyDescent="0.25">
      <c r="C53" s="117"/>
      <c r="D53" s="117"/>
      <c r="E53" s="117"/>
      <c r="G53" s="117"/>
      <c r="H53" s="117"/>
      <c r="I53" s="117"/>
      <c r="J53" s="117"/>
      <c r="K53" s="117"/>
      <c r="L53" s="117"/>
      <c r="M53" s="117"/>
      <c r="N53" s="117"/>
      <c r="O53" s="117"/>
    </row>
    <row r="54" spans="3:27" x14ac:dyDescent="0.25">
      <c r="C54" s="4"/>
      <c r="D54" s="4"/>
      <c r="E54" s="95"/>
      <c r="F54" s="4"/>
      <c r="G54" s="4"/>
      <c r="H54" s="117"/>
      <c r="I54" s="117"/>
      <c r="J54" s="4"/>
      <c r="K54" s="110"/>
      <c r="L54" s="4"/>
      <c r="M54" s="110"/>
      <c r="N54" s="4"/>
      <c r="O54" s="111"/>
    </row>
    <row r="55" spans="3:27" x14ac:dyDescent="0.25">
      <c r="C55" s="4"/>
      <c r="D55" s="4"/>
      <c r="E55" s="111"/>
      <c r="F55" s="4"/>
      <c r="G55" s="4"/>
      <c r="H55" s="133"/>
      <c r="I55" s="133"/>
      <c r="J55" s="4"/>
      <c r="K55" s="111"/>
      <c r="L55" s="4"/>
      <c r="M55" s="111"/>
      <c r="N55" s="4"/>
      <c r="O55" s="111"/>
    </row>
    <row r="57" spans="3:27" x14ac:dyDescent="0.25">
      <c r="AA57" s="3"/>
    </row>
    <row r="58" spans="3:27" x14ac:dyDescent="0.25">
      <c r="AA58" s="3"/>
    </row>
    <row r="59" spans="3:27" x14ac:dyDescent="0.25">
      <c r="AA59" s="3"/>
    </row>
    <row r="60" spans="3:27" x14ac:dyDescent="0.25">
      <c r="AA60" s="3"/>
    </row>
    <row r="61" spans="3:27" x14ac:dyDescent="0.25">
      <c r="AA61" s="3"/>
    </row>
    <row r="62" spans="3:27" x14ac:dyDescent="0.25">
      <c r="AA62" s="3"/>
    </row>
    <row r="63" spans="3:27" x14ac:dyDescent="0.25">
      <c r="AA63" s="3"/>
    </row>
    <row r="64" spans="3:27" x14ac:dyDescent="0.25">
      <c r="AA64" s="3"/>
    </row>
    <row r="65" spans="27:27" x14ac:dyDescent="0.25">
      <c r="AA65" s="3"/>
    </row>
    <row r="90" spans="14:15" x14ac:dyDescent="0.25">
      <c r="N90" s="4"/>
      <c r="O90" s="4"/>
    </row>
  </sheetData>
  <sheetProtection algorithmName="SHA-512" hashValue="0QqL2tEnzcUlnq8MnVrlzizfjpsv013nlPMCVoCsb88/l8KFW1SCYSInXxNUNT/GND/FPH6BB3XWdJNoAy52lA==" saltValue="AiojEYi4otv+62ZPGW2xoA==" spinCount="100000" sheet="1" objects="1" scenarios="1"/>
  <protectedRanges>
    <protectedRange sqref="R4:AK4 R16:V19 AB16:AK19 R7:AK7 R5:R6 T5:AK6 R10:AK10 R8:R9 T8:AK9 R13:AK15 R11:R12 T11:AK12" name="範圍4"/>
    <protectedRange sqref="D34" name="範圍2"/>
    <protectedRange sqref="D4:D7 D9:D10 D12:D13 G4:G6 G12 D32:D33" name="範圍1"/>
    <protectedRange sqref="G13" name="範圍3"/>
    <protectedRange sqref="P4:X20" name="範圍5"/>
  </protectedRanges>
  <customSheetViews>
    <customSheetView guid="{3242F372-74DC-44C7-A174-A49010CD9191}" showGridLines="0">
      <selection activeCell="C3" sqref="C3"/>
      <pageMargins left="0.75" right="0.75" top="1" bottom="1" header="0.5" footer="0.5"/>
      <pageSetup paperSize="9" orientation="portrait" r:id="rId1"/>
      <headerFooter alignWithMargins="0"/>
    </customSheetView>
  </customSheetViews>
  <mergeCells count="49">
    <mergeCell ref="H55:I55"/>
    <mergeCell ref="H31:I31"/>
    <mergeCell ref="H33:I33"/>
    <mergeCell ref="H54:I54"/>
    <mergeCell ref="H32:I32"/>
    <mergeCell ref="H34:I34"/>
    <mergeCell ref="G39:I39"/>
    <mergeCell ref="AF17:AM17"/>
    <mergeCell ref="AE17:AE18"/>
    <mergeCell ref="H22:I22"/>
    <mergeCell ref="V14:X14"/>
    <mergeCell ref="AC17:AC18"/>
    <mergeCell ref="AD17:AD18"/>
    <mergeCell ref="J19:O19"/>
    <mergeCell ref="C53:E53"/>
    <mergeCell ref="J53:K53"/>
    <mergeCell ref="L53:M53"/>
    <mergeCell ref="N53:O53"/>
    <mergeCell ref="N4:O4"/>
    <mergeCell ref="J4:K4"/>
    <mergeCell ref="L4:M4"/>
    <mergeCell ref="G38:I38"/>
    <mergeCell ref="H27:I27"/>
    <mergeCell ref="N8:O8"/>
    <mergeCell ref="H21:I21"/>
    <mergeCell ref="J11:O11"/>
    <mergeCell ref="D11:G11"/>
    <mergeCell ref="J12:O12"/>
    <mergeCell ref="H28:I28"/>
    <mergeCell ref="G53:I53"/>
    <mergeCell ref="S1:T1"/>
    <mergeCell ref="J8:K8"/>
    <mergeCell ref="C1:P1"/>
    <mergeCell ref="H26:I26"/>
    <mergeCell ref="L8:M8"/>
    <mergeCell ref="H23:I23"/>
    <mergeCell ref="B39:C39"/>
    <mergeCell ref="J39:K39"/>
    <mergeCell ref="L39:M39"/>
    <mergeCell ref="D37:E37"/>
    <mergeCell ref="D38:E38"/>
    <mergeCell ref="D39:E39"/>
    <mergeCell ref="G37:I37"/>
    <mergeCell ref="B37:C37"/>
    <mergeCell ref="J37:K37"/>
    <mergeCell ref="L37:M37"/>
    <mergeCell ref="B38:C38"/>
    <mergeCell ref="J38:K38"/>
    <mergeCell ref="L38:M38"/>
  </mergeCells>
  <phoneticPr fontId="2" type="noConversion"/>
  <pageMargins left="0.25" right="0.25" top="0.75" bottom="0.75" header="0.3" footer="0.3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I34"/>
  <sheetViews>
    <sheetView showGridLines="0" zoomScale="90" zoomScaleNormal="90" workbookViewId="0">
      <selection activeCell="AL15" sqref="AL15"/>
    </sheetView>
  </sheetViews>
  <sheetFormatPr defaultRowHeight="17.25" customHeight="1" x14ac:dyDescent="0.25"/>
  <cols>
    <col min="1" max="1" width="2.875" style="1" customWidth="1"/>
    <col min="2" max="2" width="20.125" style="1" customWidth="1"/>
    <col min="3" max="3" width="10.75" style="4" hidden="1" customWidth="1"/>
    <col min="4" max="4" width="9.25" style="4" customWidth="1"/>
    <col min="5" max="8" width="5.125" style="1" customWidth="1"/>
    <col min="9" max="10" width="5.125" style="1" hidden="1" customWidth="1"/>
    <col min="11" max="26" width="5.125" style="1" customWidth="1"/>
    <col min="27" max="27" width="6.625" style="1" customWidth="1"/>
    <col min="28" max="35" width="5.125" style="1" customWidth="1"/>
    <col min="36" max="16384" width="9" style="1"/>
  </cols>
  <sheetData>
    <row r="1" spans="2:35" ht="25.5" customHeight="1" x14ac:dyDescent="0.25">
      <c r="C1" s="146" t="s">
        <v>87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H1" s="43">
        <f ca="1">MONTH(NOW())</f>
        <v>8</v>
      </c>
    </row>
    <row r="2" spans="2:35" ht="11.25" customHeight="1" x14ac:dyDescent="0.25">
      <c r="F2" s="10"/>
      <c r="G2" s="10"/>
      <c r="H2" s="39"/>
      <c r="I2" s="39"/>
      <c r="J2" s="39"/>
      <c r="K2" s="39"/>
      <c r="L2" s="39"/>
      <c r="M2" s="39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G2" s="38"/>
      <c r="AH2" s="38"/>
      <c r="AI2" s="38"/>
    </row>
    <row r="3" spans="2:35" ht="17.25" customHeight="1" x14ac:dyDescent="0.25">
      <c r="B3" s="20" t="s">
        <v>55</v>
      </c>
      <c r="J3" s="44"/>
      <c r="L3" s="44" t="str">
        <f>"AF5D0501"</f>
        <v>AF5D0501</v>
      </c>
      <c r="P3" s="20" t="s">
        <v>22</v>
      </c>
      <c r="R3" s="16"/>
      <c r="T3" s="4"/>
      <c r="V3" s="16"/>
      <c r="AC3" s="112"/>
      <c r="AE3" s="113"/>
    </row>
    <row r="4" spans="2:35" ht="17.25" customHeight="1" x14ac:dyDescent="0.25">
      <c r="B4" s="6" t="s">
        <v>108</v>
      </c>
      <c r="C4" s="45">
        <f t="shared" ref="C4:C9" si="0">IF($L$3="AF5D0501", D4*1, 0)</f>
        <v>3840</v>
      </c>
      <c r="D4" s="26">
        <v>3840</v>
      </c>
      <c r="E4" s="118" t="s">
        <v>56</v>
      </c>
      <c r="F4" s="118"/>
      <c r="G4" s="118"/>
      <c r="H4" s="118"/>
      <c r="J4" s="45">
        <f>IF($L$3="AF5D0501", K4*1, 0)</f>
        <v>10</v>
      </c>
      <c r="K4" s="143">
        <v>10</v>
      </c>
      <c r="L4" s="145"/>
      <c r="N4" s="124" t="s">
        <v>73</v>
      </c>
      <c r="O4" s="124"/>
      <c r="P4" s="124"/>
      <c r="Q4" s="124"/>
      <c r="R4" s="148">
        <f>J4</f>
        <v>10</v>
      </c>
      <c r="S4" s="148"/>
      <c r="T4" s="124" t="s">
        <v>48</v>
      </c>
      <c r="U4" s="124"/>
      <c r="V4" s="124"/>
      <c r="W4" s="124"/>
      <c r="X4" s="147">
        <f>C6</f>
        <v>1920</v>
      </c>
      <c r="Y4" s="147"/>
      <c r="AC4" s="112"/>
      <c r="AE4" s="4"/>
    </row>
    <row r="5" spans="2:35" ht="17.25" customHeight="1" x14ac:dyDescent="0.25">
      <c r="B5" s="6" t="s">
        <v>109</v>
      </c>
      <c r="C5" s="45">
        <f t="shared" si="0"/>
        <v>1200</v>
      </c>
      <c r="D5" s="26">
        <v>1200</v>
      </c>
      <c r="E5" s="118" t="s">
        <v>80</v>
      </c>
      <c r="F5" s="118"/>
      <c r="G5" s="118"/>
      <c r="H5" s="118"/>
      <c r="J5" s="45">
        <f>IF($L$3="AF5D0501", K5*1, 0)</f>
        <v>2.5</v>
      </c>
      <c r="K5" s="143">
        <v>2.5</v>
      </c>
      <c r="L5" s="145">
        <v>15</v>
      </c>
      <c r="N5" s="124" t="s">
        <v>72</v>
      </c>
      <c r="O5" s="124"/>
      <c r="P5" s="124"/>
      <c r="Q5" s="124"/>
      <c r="R5" s="148">
        <f>R4/D11*C12</f>
        <v>2.5337837837837838</v>
      </c>
      <c r="S5" s="148"/>
      <c r="T5" s="124" t="s">
        <v>57</v>
      </c>
      <c r="U5" s="124"/>
      <c r="V5" s="124"/>
      <c r="W5" s="124"/>
      <c r="X5" s="147">
        <f>C7</f>
        <v>1200</v>
      </c>
      <c r="Y5" s="147"/>
      <c r="AC5" s="112"/>
    </row>
    <row r="6" spans="2:35" ht="17.25" customHeight="1" x14ac:dyDescent="0.25">
      <c r="B6" s="6" t="s">
        <v>106</v>
      </c>
      <c r="C6" s="45">
        <f t="shared" si="0"/>
        <v>1920</v>
      </c>
      <c r="D6" s="26">
        <v>1920</v>
      </c>
      <c r="E6" s="118" t="s">
        <v>91</v>
      </c>
      <c r="F6" s="118"/>
      <c r="G6" s="118"/>
      <c r="H6" s="118"/>
      <c r="J6" s="45">
        <f>IF($L$3="AF5D0501", K6*1, 0)</f>
        <v>5000</v>
      </c>
      <c r="K6" s="143">
        <v>5000</v>
      </c>
      <c r="L6" s="145">
        <v>5000</v>
      </c>
      <c r="N6" s="124" t="s">
        <v>129</v>
      </c>
      <c r="O6" s="124"/>
      <c r="P6" s="124"/>
      <c r="Q6" s="124"/>
      <c r="R6" s="147">
        <f>D11</f>
        <v>4736</v>
      </c>
      <c r="S6" s="147"/>
      <c r="T6" s="124" t="s">
        <v>133</v>
      </c>
      <c r="U6" s="124"/>
      <c r="V6" s="124"/>
      <c r="W6" s="124"/>
      <c r="X6" s="148">
        <f>R4/R6*X4</f>
        <v>4.0540540540540544</v>
      </c>
      <c r="Y6" s="148"/>
      <c r="AB6" s="117"/>
      <c r="AC6" s="117"/>
      <c r="AD6" s="117"/>
      <c r="AE6" s="117"/>
    </row>
    <row r="7" spans="2:35" ht="17.25" customHeight="1" x14ac:dyDescent="0.25">
      <c r="B7" s="6" t="s">
        <v>107</v>
      </c>
      <c r="C7" s="45">
        <f t="shared" si="0"/>
        <v>1200</v>
      </c>
      <c r="D7" s="26">
        <v>1200</v>
      </c>
      <c r="E7" s="118" t="s">
        <v>128</v>
      </c>
      <c r="F7" s="118"/>
      <c r="G7" s="118"/>
      <c r="H7" s="118"/>
      <c r="J7" s="45">
        <f>IF($L$3="AF5D0501", K7*1, 0)</f>
        <v>4</v>
      </c>
      <c r="K7" s="162">
        <f>K4/K5</f>
        <v>4</v>
      </c>
      <c r="L7" s="163"/>
      <c r="N7" s="124" t="s">
        <v>130</v>
      </c>
      <c r="O7" s="124"/>
      <c r="P7" s="124"/>
      <c r="Q7" s="124"/>
      <c r="R7" s="147">
        <f>D12</f>
        <v>1200</v>
      </c>
      <c r="S7" s="147"/>
      <c r="T7" s="124" t="s">
        <v>74</v>
      </c>
      <c r="U7" s="124"/>
      <c r="V7" s="124"/>
      <c r="W7" s="124"/>
      <c r="X7" s="148">
        <f>X6/X4*X5</f>
        <v>2.5337837837837838</v>
      </c>
      <c r="Y7" s="148"/>
    </row>
    <row r="8" spans="2:35" ht="17.25" customHeight="1" x14ac:dyDescent="0.25">
      <c r="B8" s="6" t="s">
        <v>75</v>
      </c>
      <c r="C8" s="45">
        <f t="shared" si="0"/>
        <v>3</v>
      </c>
      <c r="D8" s="26">
        <v>3</v>
      </c>
      <c r="N8" s="124" t="s">
        <v>131</v>
      </c>
      <c r="O8" s="124"/>
      <c r="P8" s="124"/>
      <c r="Q8" s="124"/>
      <c r="R8" s="147">
        <f>J6</f>
        <v>5000</v>
      </c>
      <c r="S8" s="147"/>
    </row>
    <row r="9" spans="2:35" ht="17.25" customHeight="1" x14ac:dyDescent="0.25">
      <c r="B9" s="6" t="s">
        <v>76</v>
      </c>
      <c r="C9" s="45">
        <f t="shared" si="0"/>
        <v>1</v>
      </c>
      <c r="D9" s="26">
        <v>1</v>
      </c>
      <c r="H9" s="1" t="s">
        <v>77</v>
      </c>
      <c r="N9" s="124" t="s">
        <v>132</v>
      </c>
      <c r="O9" s="124"/>
      <c r="P9" s="124"/>
      <c r="Q9" s="124"/>
      <c r="R9" s="147">
        <f>R8/X6/X7</f>
        <v>486.75555555555553</v>
      </c>
      <c r="S9" s="147"/>
      <c r="T9" s="118" t="s">
        <v>103</v>
      </c>
      <c r="U9" s="118"/>
      <c r="V9" s="118"/>
      <c r="W9" s="118"/>
      <c r="X9" s="159">
        <f>D11/D12</f>
        <v>3.9466666666666668</v>
      </c>
      <c r="Y9" s="159"/>
    </row>
    <row r="10" spans="2:35" ht="17.25" customHeight="1" x14ac:dyDescent="0.25">
      <c r="B10" s="25" t="s">
        <v>6</v>
      </c>
      <c r="E10" s="86"/>
      <c r="F10" s="117" t="s">
        <v>105</v>
      </c>
      <c r="G10" s="117"/>
      <c r="H10" s="117"/>
      <c r="I10" s="117"/>
      <c r="J10" s="117"/>
      <c r="K10" s="117"/>
      <c r="L10" s="117"/>
      <c r="N10" s="156" t="s">
        <v>101</v>
      </c>
      <c r="O10" s="156"/>
      <c r="P10" s="156"/>
      <c r="Q10" s="156"/>
      <c r="R10" s="157" t="s">
        <v>102</v>
      </c>
      <c r="S10" s="158"/>
      <c r="T10" s="160">
        <f>X6*H12</f>
        <v>4.4594594594594605</v>
      </c>
      <c r="U10" s="161"/>
      <c r="V10" s="154" t="s">
        <v>104</v>
      </c>
      <c r="W10" s="155"/>
      <c r="X10" s="152">
        <f>X6*H11</f>
        <v>3.1621621621621627</v>
      </c>
      <c r="Y10" s="153"/>
    </row>
    <row r="11" spans="2:35" ht="17.25" customHeight="1" x14ac:dyDescent="0.25">
      <c r="B11" s="49" t="s">
        <v>49</v>
      </c>
      <c r="C11" s="50">
        <f>C6*C8-IF($F$20&gt;$C8,0, E14)-IF($H$20&gt;$C8, 0, G14)-IF($L$20&gt;$C8, 0, K14)-IF($N$20&gt;$C8, 0, M14)-IF($P$20&gt;$C8, 0, O14)-IF($R$20&gt;$C8, 0, Q14)-IF($T$20&gt;$C8, 0, S14)-IF($V$20&gt;$C8, 0, U14)-IF($X$20&gt;$C8, 0, W14)-IF(Z20&gt;C8,0,Y14)-IF(AB20&gt;C8,0,AA14)-IF(AD20&gt;C8,0,AC14)-IF(AF20&gt;C8,0,AE14)-IF(AH20&gt;C8,0,AG14)</f>
        <v>4736</v>
      </c>
      <c r="D11" s="50">
        <f>C11</f>
        <v>4736</v>
      </c>
      <c r="E11" s="4"/>
      <c r="F11" s="118" t="s">
        <v>99</v>
      </c>
      <c r="G11" s="118"/>
      <c r="H11" s="143">
        <v>0.78</v>
      </c>
      <c r="I11" s="144"/>
      <c r="J11" s="144"/>
      <c r="K11" s="144"/>
      <c r="L11" s="145"/>
      <c r="N11" s="142"/>
      <c r="O11" s="142"/>
      <c r="P11" s="142"/>
      <c r="Q11" s="142"/>
      <c r="R11" s="151"/>
      <c r="S11" s="151"/>
      <c r="T11" s="150"/>
      <c r="U11" s="150"/>
      <c r="V11" s="142"/>
      <c r="W11" s="142"/>
      <c r="X11" s="149"/>
      <c r="Y11" s="149"/>
    </row>
    <row r="12" spans="2:35" ht="17.25" customHeight="1" x14ac:dyDescent="0.25">
      <c r="B12" s="49" t="s">
        <v>50</v>
      </c>
      <c r="C12" s="50">
        <f>C7*C9-IF($F$20&gt;$C9,0, E15)-IF($H$20&gt;$C9, 0, G15)-IF($L$20&gt;$C9, 0, K15)-IF($N$20&gt;$C9, 0, M15)-IF($P$20&gt;$C9, 0, O15)-IF($R$20&gt;$C9, 0, Q15)-IF($T$20&gt;$C9, 0, S15)-IF($V$20&gt;$C9, 0, U15)-IF($X$20&gt;$C9, 0, W15)-IF(Z20&gt;C9,0,Y15)-IF(AB20&gt;C9,0,AA15)-IF(AD20&gt;C9,0,AC15)-IF(AF20&gt;C9,0,AE15)-IF(AH20&gt;C9,0,AG15)</f>
        <v>1200</v>
      </c>
      <c r="D12" s="56">
        <f>D7*D9-(E15+G15+K15+M15+O15+Q15+S15)</f>
        <v>1200</v>
      </c>
      <c r="E12" s="87"/>
      <c r="F12" s="118" t="s">
        <v>100</v>
      </c>
      <c r="G12" s="118"/>
      <c r="H12" s="138">
        <v>1.1000000000000001</v>
      </c>
      <c r="I12" s="138"/>
      <c r="J12" s="138"/>
      <c r="K12" s="138"/>
      <c r="L12" s="138"/>
    </row>
    <row r="13" spans="2:35" ht="18.75" customHeight="1" x14ac:dyDescent="0.25">
      <c r="B13" s="21" t="s">
        <v>98</v>
      </c>
      <c r="H13" s="15"/>
      <c r="I13" s="15"/>
      <c r="J13" s="15"/>
    </row>
    <row r="14" spans="2:35" ht="17.25" customHeight="1" x14ac:dyDescent="0.25">
      <c r="B14" s="119" t="s">
        <v>126</v>
      </c>
      <c r="C14" s="141"/>
      <c r="D14" s="137"/>
      <c r="E14" s="138">
        <v>544</v>
      </c>
      <c r="F14" s="138"/>
      <c r="G14" s="138">
        <v>480</v>
      </c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</row>
    <row r="15" spans="2:35" ht="17.25" customHeight="1" x14ac:dyDescent="0.25">
      <c r="B15" s="119" t="s">
        <v>127</v>
      </c>
      <c r="C15" s="141"/>
      <c r="D15" s="137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</row>
    <row r="16" spans="2:35" ht="17.25" hidden="1" customHeight="1" x14ac:dyDescent="0.25">
      <c r="B16" s="62"/>
      <c r="C16" s="62"/>
      <c r="D16" s="62"/>
      <c r="E16" s="45">
        <f t="shared" ref="E16:H17" si="1">IF($L$3="AF5D0501", E14*1, 0)</f>
        <v>544</v>
      </c>
      <c r="F16" s="45">
        <f t="shared" si="1"/>
        <v>0</v>
      </c>
      <c r="G16" s="45">
        <f t="shared" si="1"/>
        <v>480</v>
      </c>
      <c r="H16" s="45">
        <f t="shared" si="1"/>
        <v>0</v>
      </c>
      <c r="I16" s="45"/>
      <c r="J16" s="45">
        <f>IF($L$3="AF5D0501", K14*1, 0)</f>
        <v>0</v>
      </c>
      <c r="K16" s="45"/>
      <c r="L16" s="45"/>
      <c r="M16" s="45">
        <f t="shared" ref="M16:AH16" si="2">IF($L$3="AF5D0501", M14*1, 0)</f>
        <v>0</v>
      </c>
      <c r="N16" s="45">
        <f t="shared" si="2"/>
        <v>0</v>
      </c>
      <c r="O16" s="45">
        <f t="shared" si="2"/>
        <v>0</v>
      </c>
      <c r="P16" s="45">
        <f t="shared" si="2"/>
        <v>0</v>
      </c>
      <c r="Q16" s="45">
        <f t="shared" si="2"/>
        <v>0</v>
      </c>
      <c r="R16" s="45">
        <f t="shared" si="2"/>
        <v>0</v>
      </c>
      <c r="S16" s="45">
        <f t="shared" si="2"/>
        <v>0</v>
      </c>
      <c r="T16" s="45">
        <f t="shared" si="2"/>
        <v>0</v>
      </c>
      <c r="U16" s="45">
        <f t="shared" si="2"/>
        <v>0</v>
      </c>
      <c r="V16" s="45">
        <f t="shared" si="2"/>
        <v>0</v>
      </c>
      <c r="W16" s="45">
        <f t="shared" si="2"/>
        <v>0</v>
      </c>
      <c r="X16" s="45">
        <f t="shared" si="2"/>
        <v>0</v>
      </c>
      <c r="Y16" s="45">
        <f t="shared" si="2"/>
        <v>0</v>
      </c>
      <c r="Z16" s="45">
        <f t="shared" si="2"/>
        <v>0</v>
      </c>
      <c r="AA16" s="45">
        <f t="shared" si="2"/>
        <v>0</v>
      </c>
      <c r="AB16" s="45">
        <f t="shared" si="2"/>
        <v>0</v>
      </c>
      <c r="AC16" s="45">
        <f t="shared" si="2"/>
        <v>0</v>
      </c>
      <c r="AD16" s="45">
        <f t="shared" si="2"/>
        <v>0</v>
      </c>
      <c r="AE16" s="45">
        <f t="shared" si="2"/>
        <v>0</v>
      </c>
      <c r="AF16" s="45">
        <f t="shared" si="2"/>
        <v>0</v>
      </c>
      <c r="AG16" s="45">
        <f t="shared" si="2"/>
        <v>0</v>
      </c>
      <c r="AH16" s="45">
        <f t="shared" si="2"/>
        <v>0</v>
      </c>
    </row>
    <row r="17" spans="2:35" ht="17.25" hidden="1" customHeight="1" x14ac:dyDescent="0.25">
      <c r="B17" s="62"/>
      <c r="C17" s="62"/>
      <c r="D17" s="62"/>
      <c r="E17" s="45">
        <f t="shared" si="1"/>
        <v>0</v>
      </c>
      <c r="F17" s="45">
        <f t="shared" si="1"/>
        <v>0</v>
      </c>
      <c r="G17" s="45">
        <f t="shared" si="1"/>
        <v>0</v>
      </c>
      <c r="H17" s="45">
        <f t="shared" si="1"/>
        <v>0</v>
      </c>
      <c r="I17" s="45"/>
      <c r="J17" s="45">
        <f>IF($L$3="AF5D0501", K15*1, 0)</f>
        <v>0</v>
      </c>
      <c r="K17" s="45"/>
      <c r="L17" s="45"/>
      <c r="M17" s="45">
        <f t="shared" ref="M17:AH17" si="3">IF($L$3="AF5D0501", M15*1, 0)</f>
        <v>0</v>
      </c>
      <c r="N17" s="45">
        <f t="shared" si="3"/>
        <v>0</v>
      </c>
      <c r="O17" s="45">
        <f t="shared" si="3"/>
        <v>0</v>
      </c>
      <c r="P17" s="45">
        <f t="shared" si="3"/>
        <v>0</v>
      </c>
      <c r="Q17" s="45">
        <f t="shared" si="3"/>
        <v>0</v>
      </c>
      <c r="R17" s="45">
        <f t="shared" si="3"/>
        <v>0</v>
      </c>
      <c r="S17" s="45">
        <f t="shared" si="3"/>
        <v>0</v>
      </c>
      <c r="T17" s="45">
        <f t="shared" si="3"/>
        <v>0</v>
      </c>
      <c r="U17" s="45">
        <f t="shared" si="3"/>
        <v>0</v>
      </c>
      <c r="V17" s="45">
        <f t="shared" si="3"/>
        <v>0</v>
      </c>
      <c r="W17" s="45">
        <f t="shared" si="3"/>
        <v>0</v>
      </c>
      <c r="X17" s="45">
        <f t="shared" si="3"/>
        <v>0</v>
      </c>
      <c r="Y17" s="45">
        <f t="shared" si="3"/>
        <v>0</v>
      </c>
      <c r="Z17" s="45">
        <f t="shared" si="3"/>
        <v>0</v>
      </c>
      <c r="AA17" s="45">
        <f t="shared" si="3"/>
        <v>0</v>
      </c>
      <c r="AB17" s="45">
        <f t="shared" si="3"/>
        <v>0</v>
      </c>
      <c r="AC17" s="45">
        <f t="shared" si="3"/>
        <v>0</v>
      </c>
      <c r="AD17" s="45">
        <f t="shared" si="3"/>
        <v>0</v>
      </c>
      <c r="AE17" s="45">
        <f t="shared" si="3"/>
        <v>0</v>
      </c>
      <c r="AF17" s="45">
        <f t="shared" si="3"/>
        <v>0</v>
      </c>
      <c r="AG17" s="45">
        <f t="shared" si="3"/>
        <v>0</v>
      </c>
      <c r="AH17" s="45">
        <f t="shared" si="3"/>
        <v>0</v>
      </c>
    </row>
    <row r="18" spans="2:35" ht="17.25" customHeight="1" x14ac:dyDescent="0.25">
      <c r="C18" s="14"/>
      <c r="D18" s="14"/>
      <c r="E18" s="117" t="s">
        <v>58</v>
      </c>
      <c r="F18" s="117"/>
      <c r="G18" s="117" t="s">
        <v>59</v>
      </c>
      <c r="H18" s="117"/>
      <c r="I18" s="4"/>
      <c r="J18" s="4"/>
      <c r="K18" s="117" t="s">
        <v>60</v>
      </c>
      <c r="L18" s="117"/>
      <c r="M18" s="117" t="s">
        <v>61</v>
      </c>
      <c r="N18" s="117"/>
      <c r="O18" s="117" t="s">
        <v>62</v>
      </c>
      <c r="P18" s="117"/>
      <c r="Q18" s="117" t="s">
        <v>63</v>
      </c>
      <c r="R18" s="117"/>
      <c r="S18" s="117" t="s">
        <v>64</v>
      </c>
      <c r="T18" s="117"/>
      <c r="U18" s="117" t="s">
        <v>65</v>
      </c>
      <c r="V18" s="117"/>
      <c r="W18" s="117" t="s">
        <v>66</v>
      </c>
      <c r="X18" s="117"/>
      <c r="Y18" s="117" t="s">
        <v>67</v>
      </c>
      <c r="Z18" s="117"/>
      <c r="AA18" s="117" t="s">
        <v>68</v>
      </c>
      <c r="AB18" s="117"/>
      <c r="AC18" s="117" t="s">
        <v>69</v>
      </c>
      <c r="AD18" s="117"/>
      <c r="AE18" s="117" t="s">
        <v>70</v>
      </c>
      <c r="AF18" s="117"/>
      <c r="AG18" s="117" t="s">
        <v>71</v>
      </c>
      <c r="AH18" s="117"/>
    </row>
    <row r="19" spans="2:35" ht="17.25" customHeight="1" x14ac:dyDescent="0.25">
      <c r="B19" s="25" t="s">
        <v>9</v>
      </c>
    </row>
    <row r="20" spans="2:35" ht="17.25" customHeight="1" x14ac:dyDescent="0.25">
      <c r="B20" s="63" t="s">
        <v>144</v>
      </c>
      <c r="C20" s="140">
        <v>1</v>
      </c>
      <c r="D20" s="140"/>
      <c r="E20" s="140"/>
      <c r="F20" s="140">
        <v>2</v>
      </c>
      <c r="G20" s="140"/>
      <c r="H20" s="140">
        <v>3</v>
      </c>
      <c r="I20" s="140"/>
      <c r="J20" s="140"/>
      <c r="K20" s="140"/>
      <c r="L20" s="140">
        <v>4</v>
      </c>
      <c r="M20" s="140"/>
      <c r="N20" s="140">
        <v>5</v>
      </c>
      <c r="O20" s="140"/>
      <c r="P20" s="140">
        <v>6</v>
      </c>
      <c r="Q20" s="140"/>
      <c r="R20" s="140">
        <v>7</v>
      </c>
      <c r="S20" s="140"/>
      <c r="T20" s="140">
        <v>8</v>
      </c>
      <c r="U20" s="140"/>
      <c r="V20" s="140">
        <v>9</v>
      </c>
      <c r="W20" s="140"/>
      <c r="X20" s="140">
        <v>10</v>
      </c>
      <c r="Y20" s="140"/>
      <c r="Z20" s="140">
        <v>11</v>
      </c>
      <c r="AA20" s="140"/>
      <c r="AB20" s="140">
        <v>12</v>
      </c>
      <c r="AC20" s="140"/>
      <c r="AD20" s="140">
        <v>13</v>
      </c>
      <c r="AE20" s="140"/>
      <c r="AF20" s="140">
        <v>14</v>
      </c>
      <c r="AG20" s="140"/>
      <c r="AH20" s="140">
        <v>15</v>
      </c>
      <c r="AI20" s="140"/>
    </row>
    <row r="21" spans="2:35" ht="17.25" customHeight="1" x14ac:dyDescent="0.25">
      <c r="B21" s="63" t="s">
        <v>139</v>
      </c>
      <c r="C21" s="139">
        <f>0</f>
        <v>0</v>
      </c>
      <c r="D21" s="139"/>
      <c r="E21" s="139"/>
      <c r="F21" s="139">
        <f>IF($F$20&lt;=$C8,$C$4/$C$8*$C$20-($C$6*$C$20-E14)/$C$11*$C$4,0)</f>
        <v>164.32432432432438</v>
      </c>
      <c r="G21" s="139"/>
      <c r="H21" s="139">
        <f>IF($C8&gt;=$H$20,$C$4/$C$8*F20-($C$6*F20-E14-G14)/$C$11*$C$4,0)</f>
        <v>276.75675675675666</v>
      </c>
      <c r="I21" s="139"/>
      <c r="J21" s="139"/>
      <c r="K21" s="139"/>
      <c r="L21" s="139">
        <f>IF($C$8&gt;=L20,$C$4/$C$8*H20-($C$6*H20-E14-G14-K14)/$C$11*$C$4,0)</f>
        <v>0</v>
      </c>
      <c r="M21" s="139"/>
      <c r="N21" s="139">
        <f>IF($C$8&gt;=N20,$C$4/$C$8*L20-($C$6*L20-E14-G14-K14-M14)/$C$11*$C$4,0)</f>
        <v>0</v>
      </c>
      <c r="O21" s="139"/>
      <c r="P21" s="139">
        <f>IF($C$8&gt;=P20,$C$4/$C$8*N20-($C$6*N20-E14-G14-K14-M14-O14)/$C$11*$C$4,0)</f>
        <v>0</v>
      </c>
      <c r="Q21" s="139"/>
      <c r="R21" s="139">
        <f>IF($C$8&gt;=R20,$C$4/$C$8*P20-($C$6*P20-E14-G14-K14-M14-O14-Q14)/$C$11*$C$4,0)</f>
        <v>0</v>
      </c>
      <c r="S21" s="139"/>
      <c r="T21" s="139">
        <f>IF($C$8&gt;=T20,$C$4/$C$8*R20-($C$6*R20-E14-G14-K14-M14-O14-Q14-S14)/$C$11*$C$4,0)</f>
        <v>0</v>
      </c>
      <c r="U21" s="139"/>
      <c r="V21" s="139">
        <f>IF($C$8&gt;=V20,$C$4/$C$8*T20-($C$6*T20-E14-G14-K14-M14-O14-Q14-S14-U14)/$C$11*$C$4,0)</f>
        <v>0</v>
      </c>
      <c r="W21" s="139"/>
      <c r="X21" s="139">
        <f>IF($C$8&gt;=X20,$C$4/$C$8*V20-($C$6*V20-E14-G14-K14-M14-O14-Q14-S14-U14-W14)/$C$11*$C$4,0)</f>
        <v>0</v>
      </c>
      <c r="Y21" s="139"/>
      <c r="Z21" s="139">
        <f>IF($C$8&gt;=Z20,$C$4/$C$8*X20-($C$6*X20-E14-G14-K14-M14-O14-Q14-S14-U14-W14-Y14)/$C$11*$C$4,0)</f>
        <v>0</v>
      </c>
      <c r="AA21" s="139"/>
      <c r="AB21" s="139">
        <f>IF($C$8&gt;=AB20,$C$4/$C$8*Z20-($C$6*Z20-E14-G14-K14-M14-O14-Q14-S14-U14-W14-Y14-AA14)/$C$11*$C$4,0)</f>
        <v>0</v>
      </c>
      <c r="AC21" s="139"/>
      <c r="AD21" s="139">
        <f>IF($C$8&gt;=AD20,$C$4/$C$8*AB20-($C$6*AB20-E14-G14-K14-M14-O14-Q14-S14-U14-W14-Y14-AA14-AC14)/$C$11*$C$4,0)</f>
        <v>0</v>
      </c>
      <c r="AE21" s="139"/>
      <c r="AF21" s="139">
        <f>IF($C$8&gt;=AF20,$C$4/$C$8*AD20-($C$6*AD20-E14-G14-K14-M14-O14-Q14-S14-U14-W14-Y14-AA14-AC14-AE14)/$C$11*$C$4,0)</f>
        <v>0</v>
      </c>
      <c r="AG21" s="139"/>
      <c r="AH21" s="139">
        <f>IF($C$8&gt;=AH20,$C$4/$C$8*AF20-($C$6*AF20-E14-G14-K14-M14-O14-Q14-S14-U14-W14-Y14-AA14-AC14-AE14-AG14)/$C$11*$C$4,0)</f>
        <v>0</v>
      </c>
      <c r="AI21" s="139"/>
    </row>
    <row r="22" spans="2:35" ht="17.25" customHeight="1" x14ac:dyDescent="0.25">
      <c r="B22" s="63" t="s">
        <v>140</v>
      </c>
      <c r="C22" s="139">
        <f>IF($C$20&lt;=$C8,$C6/$C11*$C4-$C4/$C8,0)</f>
        <v>276.75675675675689</v>
      </c>
      <c r="D22" s="139"/>
      <c r="E22" s="139"/>
      <c r="F22" s="139">
        <f>IF($F$20&lt;$C8,($C$6*$F$20-E14)/$C$11*$C$4-$C$4/$C$8*$F$20,0)</f>
        <v>112.43243243243251</v>
      </c>
      <c r="G22" s="139"/>
      <c r="H22" s="139">
        <f>IF($H$20&lt;$C8,($C$6*H20-E14-G14)/$C$11*$C$4-$C$4/$C$8*H20,0)</f>
        <v>0</v>
      </c>
      <c r="I22" s="139"/>
      <c r="J22" s="139"/>
      <c r="K22" s="139"/>
      <c r="L22" s="139">
        <f>IF($L$20&lt;$C8,($C$6*L20-E14-G14-K14)/$C$11*$C$4-$C$4/$C$8*L20,0)</f>
        <v>0</v>
      </c>
      <c r="M22" s="139"/>
      <c r="N22" s="139">
        <f>IF($N$20&lt;$C8,($C$6*N20-E14-G14-K14-M14)/$C$11*$C$4-$C$4/$C$8*N20,0)</f>
        <v>0</v>
      </c>
      <c r="O22" s="139"/>
      <c r="P22" s="139">
        <f>IF($P$20&lt;$C8,($C$6*P20-E14-G14-K14-M14-O14)/$C$11*$C$4-$C$4/$C$8*P20,0)</f>
        <v>0</v>
      </c>
      <c r="Q22" s="139"/>
      <c r="R22" s="139">
        <f>IF($R$20&lt;$C8,($C$6*R20-E14-G14-K14-M14-O14-Q14)/$C$11*$C$4-$C$4/$C$8*R20,0)</f>
        <v>0</v>
      </c>
      <c r="S22" s="139"/>
      <c r="T22" s="139">
        <f>IF($T$20&lt;$C8,($C6*$T$20-E14-G14-K14-M14-O14-Q14-S14)/$C$11*$C4-$C4/$C8*$T$20,0)</f>
        <v>0</v>
      </c>
      <c r="U22" s="139"/>
      <c r="V22" s="139">
        <f>IF(V20&lt;$C$8,($C$6*V20-E14-G14-K14-M14-O14-Q14-S14-U14)/$C$11*$C$4-$C$4/$C$8*V20,0)</f>
        <v>0</v>
      </c>
      <c r="W22" s="139"/>
      <c r="X22" s="139">
        <f>IF(X20&lt;$C$8,($C$6*X20-E14-G14-K14-M14-O14-Q14-S14-U14-W14)/$C$11*$C$4-$C$4/$C$8*X20,0)</f>
        <v>0</v>
      </c>
      <c r="Y22" s="139"/>
      <c r="Z22" s="139">
        <f>IF(Z20&lt;$C$8,($C$6*Z20-E14-G14-K14-M14-O14-Q14-S14-U14-W14-Y14)/$C$11*$C$4-$C$4/$C$8*Z20,0)</f>
        <v>0</v>
      </c>
      <c r="AA22" s="139"/>
      <c r="AB22" s="139">
        <f>IF(AB20&lt;$C$8,($C$6*AB20-E14-G14-K14-M14-O14-Q14-S14-U14-W14-Y14-AA14)/$C$11*$C$4-$C$4/$C$8*AB20,0)</f>
        <v>0</v>
      </c>
      <c r="AC22" s="139"/>
      <c r="AD22" s="139">
        <f>IF(AD20&lt;$C$8,($C$6*AD20-E14-G14-K14-M14-O14-Q14-S14-U14-W14-Y14-AA14-AC14)/$C$11*$C$4-$C$4/$C$8*AD20,0)</f>
        <v>0</v>
      </c>
      <c r="AE22" s="139"/>
      <c r="AF22" s="139">
        <f>IF(AF20&lt;$C$8,($C$6*AF20-E14-G14-K14-M14-O14-Q14-S14-U14-W14-Y14-AA14-AC14-AE14)/$C$11*$C$4-$C$4/$C$8*AF20,0)</f>
        <v>0</v>
      </c>
      <c r="AG22" s="139"/>
      <c r="AH22" s="139">
        <f>IF(AH20&lt;$C$8,($C$6*AH20-E14-G14-K14-M14-O14-Q14-S14-U14-W14-Y14-AA14-AC14-AE14-AG14)/$C$11*$C$4-$C$4/$C$8*AH20,0)</f>
        <v>0</v>
      </c>
      <c r="AI22" s="139"/>
    </row>
    <row r="23" spans="2:35" ht="17.25" customHeight="1" x14ac:dyDescent="0.25">
      <c r="B23" s="88" t="s">
        <v>96</v>
      </c>
      <c r="C23" s="89"/>
      <c r="D23" s="90"/>
      <c r="E23" s="136">
        <f>$X$6/$D$6*E14*100</f>
        <v>114.86486486486487</v>
      </c>
      <c r="F23" s="136"/>
      <c r="G23" s="136">
        <f>$X$6/$D$6*G14*100</f>
        <v>101.35135135135135</v>
      </c>
      <c r="H23" s="136"/>
      <c r="I23" s="91"/>
      <c r="J23" s="91"/>
      <c r="K23" s="136">
        <f>$X$6/$D$6*K14*100</f>
        <v>0</v>
      </c>
      <c r="L23" s="136"/>
      <c r="M23" s="136">
        <f>$X$6/$D$6*M14*100</f>
        <v>0</v>
      </c>
      <c r="N23" s="136"/>
      <c r="O23" s="136">
        <f>$X$6/$D$6*O14*100</f>
        <v>0</v>
      </c>
      <c r="P23" s="136"/>
      <c r="Q23" s="136">
        <f>$X$6/$D$6*Q14*100</f>
        <v>0</v>
      </c>
      <c r="R23" s="136"/>
      <c r="S23" s="136">
        <f>$X$6/$D$6*S14*100</f>
        <v>0</v>
      </c>
      <c r="T23" s="136"/>
      <c r="U23" s="136">
        <f>$X$6/$D$6*U14*100</f>
        <v>0</v>
      </c>
      <c r="V23" s="136"/>
      <c r="W23" s="136">
        <f>$X$6/$D$6*W14*100</f>
        <v>0</v>
      </c>
      <c r="X23" s="136"/>
      <c r="Y23" s="136">
        <f>$X$6/$D$6*Y14*100</f>
        <v>0</v>
      </c>
      <c r="Z23" s="136"/>
      <c r="AA23" s="136">
        <f>$X$6/$D$6*AA14*100</f>
        <v>0</v>
      </c>
      <c r="AB23" s="136"/>
      <c r="AC23" s="136">
        <f>$X$6/$D$6*AC14*100</f>
        <v>0</v>
      </c>
      <c r="AD23" s="136"/>
      <c r="AE23" s="136">
        <f>$X$6/$D$6*AE14*100</f>
        <v>0</v>
      </c>
      <c r="AF23" s="136"/>
      <c r="AG23" s="136">
        <f>$X$6/$D$6*AG14*100</f>
        <v>0</v>
      </c>
      <c r="AH23" s="136"/>
      <c r="AI23" s="92"/>
    </row>
    <row r="24" spans="2:35" ht="17.25" customHeight="1" x14ac:dyDescent="0.25">
      <c r="B24" s="42"/>
      <c r="C24" s="11"/>
      <c r="D24" s="11"/>
      <c r="E24" s="11"/>
      <c r="F24" s="11"/>
      <c r="G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2:35" ht="17.25" customHeight="1" x14ac:dyDescent="0.25">
      <c r="B25" s="63" t="s">
        <v>145</v>
      </c>
      <c r="C25" s="140">
        <v>1</v>
      </c>
      <c r="D25" s="140"/>
      <c r="E25" s="140"/>
      <c r="F25" s="140">
        <v>2</v>
      </c>
      <c r="G25" s="140"/>
      <c r="H25" s="140">
        <v>3</v>
      </c>
      <c r="I25" s="140"/>
      <c r="J25" s="140"/>
      <c r="K25" s="140"/>
      <c r="L25" s="140">
        <v>4</v>
      </c>
      <c r="M25" s="140"/>
      <c r="N25" s="140">
        <v>5</v>
      </c>
      <c r="O25" s="140"/>
      <c r="P25" s="140">
        <v>6</v>
      </c>
      <c r="Q25" s="140"/>
      <c r="R25" s="140">
        <v>7</v>
      </c>
      <c r="S25" s="140"/>
      <c r="T25" s="140">
        <v>8</v>
      </c>
      <c r="U25" s="140"/>
      <c r="V25" s="140">
        <v>9</v>
      </c>
      <c r="W25" s="140"/>
      <c r="X25" s="140">
        <v>10</v>
      </c>
      <c r="Y25" s="140"/>
      <c r="Z25" s="140">
        <v>11</v>
      </c>
      <c r="AA25" s="140"/>
      <c r="AB25" s="140">
        <v>12</v>
      </c>
      <c r="AC25" s="140"/>
      <c r="AD25" s="140">
        <v>13</v>
      </c>
      <c r="AE25" s="140"/>
      <c r="AF25" s="140">
        <v>14</v>
      </c>
      <c r="AG25" s="140"/>
      <c r="AH25" s="140">
        <v>15</v>
      </c>
      <c r="AI25" s="140"/>
    </row>
    <row r="26" spans="2:35" ht="17.25" customHeight="1" x14ac:dyDescent="0.25">
      <c r="B26" s="63" t="s">
        <v>141</v>
      </c>
      <c r="C26" s="139">
        <f>0</f>
        <v>0</v>
      </c>
      <c r="D26" s="139"/>
      <c r="E26" s="139"/>
      <c r="F26" s="139">
        <f>IF($F$20&lt;=$C9,$C$5/$C$9*$C$20-($C$7*$C$20-E15)/$C$12*$C$5,0)</f>
        <v>0</v>
      </c>
      <c r="G26" s="139"/>
      <c r="H26" s="139">
        <f>IF($C9&gt;=$H$20,$C$5/$C$9*F20-($C$7*F20-E15-G15)/$C$12*$C$5,0)</f>
        <v>0</v>
      </c>
      <c r="I26" s="139"/>
      <c r="J26" s="139"/>
      <c r="K26" s="139"/>
      <c r="L26" s="139">
        <f>IF($C$9&gt;=L20,$C$5/$C$9*H20-($C$7*H20-E15-G15-K15)/$C$12*$C$5,0)</f>
        <v>0</v>
      </c>
      <c r="M26" s="139"/>
      <c r="N26" s="139">
        <f>IF($C$9&gt;=N20,$C$5/$C$9*L20-($C$7*L20-E15-G15-K15-M15)/$C$12*$C$5,0)</f>
        <v>0</v>
      </c>
      <c r="O26" s="139"/>
      <c r="P26" s="139">
        <f>IF($C$9&gt;=P20,$C$5/$C$9*N20-($C$7*N20-E15-G15-K15-M15-O15)/$C$12*$C$5,0)</f>
        <v>0</v>
      </c>
      <c r="Q26" s="139"/>
      <c r="R26" s="139">
        <f>IF($C$9&gt;=R20,$C$5/$C$9*P20-($C$7*P20-E15-G15-K15-M15-O15-Q15)/$C$12*$C$5,0)</f>
        <v>0</v>
      </c>
      <c r="S26" s="139"/>
      <c r="T26" s="139">
        <f>IF($C$9&gt;=T20,$C$5/$C$9*R20-($C$7*R20-E15-G15-K15-M15-O15-Q15-S15)/$C$12*$C$5,0)</f>
        <v>0</v>
      </c>
      <c r="U26" s="139"/>
      <c r="V26" s="139">
        <f>IF($C$9&gt;=V20,$C$5/$C$9*T20-($C$7*T20-E15-G15-K15-M15-O15-Q15-S15-U15)/$C$12*$C$5,0)</f>
        <v>0</v>
      </c>
      <c r="W26" s="139"/>
      <c r="X26" s="139">
        <f>IF($C$9&gt;=X20,$C$5/$C$9*V20-($C$7*V20-E15-G15-K15-M15-O15-Q15-S15-U15-W15)/$C$12*$C$5,0)</f>
        <v>0</v>
      </c>
      <c r="Y26" s="139"/>
      <c r="Z26" s="139">
        <f>IF($C$9&gt;=Z20,$C$5/$C$9*X20-($C$7*X20-E15-G15-K15-M15-O15-Q15-S15-U15-W15-Y15)/$C$12*$C$5,0)</f>
        <v>0</v>
      </c>
      <c r="AA26" s="139"/>
      <c r="AB26" s="139">
        <f>IF($C$9&gt;=AB20,$C$5/$C$9*Z20-($C$7*Z20-E15-G15-K15-M15-O15-Q15-S15-U15-W15-Y15-AA15)/$C$12*$C$5,0)</f>
        <v>0</v>
      </c>
      <c r="AC26" s="139"/>
      <c r="AD26" s="139">
        <f>IF($C$9&gt;=AD20,$C$5/$C$9*AB20-($C$7*AB20-E15-G15-K15-M15-O15-Q15-S15-U15-W15-Y15-AA15-AC15)/$C$12*$C$5,0)</f>
        <v>0</v>
      </c>
      <c r="AE26" s="139"/>
      <c r="AF26" s="139">
        <f>IF($C$9&gt;=AF20,$C$5/$C$9*AD20-($C$7*AD20-E15-G15-K15-M15-O15-Q15-S15-U15-W15-Y15-AA15-AC15-AE15)/$C$12*$C$5,0)</f>
        <v>0</v>
      </c>
      <c r="AG26" s="139"/>
      <c r="AH26" s="139">
        <f>IF($C$9&gt;=AH20,$C$5/$C$9*AF20-($C$7*AF20-E15-G15-K15-M15-O15-Q15-S15-U15-W15-Y15-AA15-AC15-AE15-AG15)/$C$12*$C$5,0)</f>
        <v>0</v>
      </c>
      <c r="AI26" s="139"/>
    </row>
    <row r="27" spans="2:35" ht="17.25" customHeight="1" x14ac:dyDescent="0.25">
      <c r="B27" s="63" t="s">
        <v>142</v>
      </c>
      <c r="C27" s="139">
        <f>IF($C$20&lt;=$C9,$C7/$C12*$C5-$C5/$C9,0)</f>
        <v>0</v>
      </c>
      <c r="D27" s="139"/>
      <c r="E27" s="139"/>
      <c r="F27" s="139">
        <f>IF($F$20&lt;$C9,($C$7*$F$20-E15)/$C$12*$C$5-$C$5/$C$9*$F$20,0)</f>
        <v>0</v>
      </c>
      <c r="G27" s="139"/>
      <c r="H27" s="139">
        <f>IF($H$20&lt;$C9,($C$7*H20-E15-G15)/$C$12*$C$5-$C$5/$C$9*H20,0)</f>
        <v>0</v>
      </c>
      <c r="I27" s="139"/>
      <c r="J27" s="139"/>
      <c r="K27" s="139"/>
      <c r="L27" s="139">
        <f>IF($L$20&lt;$C9,($C$7*L20-E15-G15-K15)/$C$12*$C$5-$C$5/$C$9*L20,0)</f>
        <v>0</v>
      </c>
      <c r="M27" s="139"/>
      <c r="N27" s="139">
        <f>IF($N$20&lt;$C9,($C$7*N20-E15-G15-K15-M15)/$C$12*$C$5-$C$5/$C$9*N20,0)</f>
        <v>0</v>
      </c>
      <c r="O27" s="139"/>
      <c r="P27" s="139">
        <f>IF($P$20&lt;$C9,($C$7*P20-E15-G15-K15-M15-O15)/$C$12*$C$5-$C$5/$C$9*P20,0)</f>
        <v>0</v>
      </c>
      <c r="Q27" s="139"/>
      <c r="R27" s="139">
        <f>IF($R$20&lt;$C9,($C$7*R20-E15-G15-K15-M15-O15-Q15)/$C$12*$C$5-$C$5/$C$9*R20,0)</f>
        <v>0</v>
      </c>
      <c r="S27" s="139"/>
      <c r="T27" s="139">
        <f>IF($T$20&lt;$C9,($C$7*T20-E15-G15-K15-M15-O15-Q15-S15)/$C$12*$C$5-$C$5/$C$9*T20,0)</f>
        <v>0</v>
      </c>
      <c r="U27" s="139"/>
      <c r="V27" s="139">
        <f>IF($V$20&lt;$C9,($C$7*V20-E15-G15-K15-M15-O15-Q15-S15-U15)/$C$12*$C$5-$C$5/$C$9*V20,0)</f>
        <v>0</v>
      </c>
      <c r="W27" s="139"/>
      <c r="X27" s="139">
        <f>IF($X$20&lt;$C9,($C$7*X20-E15-G15-K15-M15-O15-Q15-S15-U15-W15)/$C$12*$C$5-$C$5/$C$9*X20,0)</f>
        <v>0</v>
      </c>
      <c r="Y27" s="139"/>
      <c r="Z27" s="139">
        <f>IF($Z$20&lt;$C9,($C$7*Z20-E15-G15-K15-M15-O15-Q15-S15-U15-W15-Y15)/$C$12*$C$5-$C$5/$C$9*Z20,0)</f>
        <v>0</v>
      </c>
      <c r="AA27" s="139"/>
      <c r="AB27" s="139">
        <f>IF($AB$20&lt;$C9,($C$7*AB20-E15-G15-K15-M15-O15-Q15-S15-U15-W15-Y15-AA15)/$C$12*$C$5-$C$5/$C$9*AB20,0)</f>
        <v>0</v>
      </c>
      <c r="AC27" s="139"/>
      <c r="AD27" s="139">
        <f>IF($AD$20&lt;$C9,($C$7*AD20-E15-G15-K15-M15-O15-Q15-S15-U15-W15-Y15-AA15-AC15)/$C$12*$C$5-$C$5/$C$9*AD20,0)</f>
        <v>0</v>
      </c>
      <c r="AE27" s="139"/>
      <c r="AF27" s="139">
        <f>IF($AF$20&lt;$C9,($C$7*AF20-E15-G15-K15-M15-O15-Q15-S15-U15-W15-Y15-AA15-AC15-AE15)/$C$12*$C$5-$C$5/$C$9*AF20,0)</f>
        <v>0</v>
      </c>
      <c r="AG27" s="139"/>
      <c r="AH27" s="139">
        <f>IF($AH$20&lt;$C9,($C$7*AH20-E15-G15-K15-M15-O15-Q15-S15-U15-W15-Y15-AA15-AC15-AE15-AG15)/$C$12*$C$5-$C$5/$C$9*AH20,0)</f>
        <v>0</v>
      </c>
      <c r="AI27" s="139"/>
    </row>
    <row r="28" spans="2:35" ht="17.25" customHeight="1" x14ac:dyDescent="0.25">
      <c r="B28" s="88" t="s">
        <v>97</v>
      </c>
      <c r="C28" s="93"/>
      <c r="D28" s="90"/>
      <c r="E28" s="136">
        <f>$K$5/$D$12*E15*100</f>
        <v>0</v>
      </c>
      <c r="F28" s="136"/>
      <c r="G28" s="136">
        <f>$K$5/$D$7*G15*100</f>
        <v>0</v>
      </c>
      <c r="H28" s="136"/>
      <c r="I28" s="91"/>
      <c r="J28" s="91"/>
      <c r="K28" s="136">
        <f>$K$5/$D$7*K15*100</f>
        <v>0</v>
      </c>
      <c r="L28" s="136"/>
      <c r="M28" s="136">
        <f>$K$5/$D$7*M15*100</f>
        <v>0</v>
      </c>
      <c r="N28" s="136"/>
      <c r="O28" s="136">
        <f>$K$5/$D$7*O15*100</f>
        <v>0</v>
      </c>
      <c r="P28" s="136"/>
      <c r="Q28" s="136">
        <f>$K$5/$D$7*Q15*100</f>
        <v>0</v>
      </c>
      <c r="R28" s="136"/>
      <c r="S28" s="136">
        <f>$K$5/$D$7*S15*100</f>
        <v>0</v>
      </c>
      <c r="T28" s="136"/>
      <c r="U28" s="136">
        <f>$K$5/$D$7*U15*100</f>
        <v>0</v>
      </c>
      <c r="V28" s="136"/>
      <c r="W28" s="136">
        <f>$K$5/$D$7*W15*100</f>
        <v>0</v>
      </c>
      <c r="X28" s="136"/>
      <c r="Y28" s="136">
        <f>$K$5/$D$7*Y15*100</f>
        <v>0</v>
      </c>
      <c r="Z28" s="136"/>
      <c r="AA28" s="136">
        <f>$K$5/$D$7*AA15*100</f>
        <v>0</v>
      </c>
      <c r="AB28" s="136"/>
      <c r="AC28" s="136">
        <f>$K$5/$D$7*AC15*100</f>
        <v>0</v>
      </c>
      <c r="AD28" s="136"/>
      <c r="AE28" s="136">
        <f>$K$5/$D$7*AE15*100</f>
        <v>0</v>
      </c>
      <c r="AF28" s="136"/>
      <c r="AG28" s="136">
        <f>$K$5/$D$7*AG15*100</f>
        <v>0</v>
      </c>
      <c r="AH28" s="136"/>
      <c r="AI28" s="94"/>
    </row>
    <row r="29" spans="2:35" ht="17.25" customHeight="1" x14ac:dyDescent="0.25">
      <c r="F29" s="24" t="s">
        <v>143</v>
      </c>
      <c r="G29" s="24"/>
      <c r="H29" s="24"/>
      <c r="Q29" s="37"/>
    </row>
    <row r="30" spans="2:35" ht="17.25" customHeight="1" x14ac:dyDescent="0.25">
      <c r="F30" s="119" t="s">
        <v>44</v>
      </c>
      <c r="G30" s="137"/>
      <c r="H30" s="119" t="s">
        <v>26</v>
      </c>
      <c r="I30" s="141"/>
      <c r="J30" s="141"/>
      <c r="K30" s="137"/>
      <c r="L30" s="119" t="s">
        <v>27</v>
      </c>
      <c r="M30" s="137"/>
      <c r="N30" s="119" t="s">
        <v>28</v>
      </c>
      <c r="O30" s="137"/>
      <c r="P30" s="118" t="s">
        <v>29</v>
      </c>
      <c r="Q30" s="118"/>
    </row>
    <row r="31" spans="2:35" ht="17.25" customHeight="1" x14ac:dyDescent="0.25">
      <c r="F31" s="119" t="s">
        <v>78</v>
      </c>
      <c r="G31" s="137"/>
      <c r="H31" s="119" t="s">
        <v>30</v>
      </c>
      <c r="I31" s="141"/>
      <c r="J31" s="141"/>
      <c r="K31" s="137"/>
      <c r="L31" s="119" t="s">
        <v>31</v>
      </c>
      <c r="M31" s="137"/>
      <c r="N31" s="119" t="s">
        <v>32</v>
      </c>
      <c r="O31" s="137"/>
      <c r="P31" s="118" t="s">
        <v>33</v>
      </c>
      <c r="Q31" s="118"/>
    </row>
    <row r="32" spans="2:35" ht="17.25" customHeight="1" x14ac:dyDescent="0.25">
      <c r="F32" s="119" t="s">
        <v>79</v>
      </c>
      <c r="G32" s="137"/>
      <c r="H32" s="119" t="s">
        <v>34</v>
      </c>
      <c r="I32" s="141"/>
      <c r="J32" s="141"/>
      <c r="K32" s="137"/>
      <c r="L32" s="119" t="s">
        <v>45</v>
      </c>
      <c r="M32" s="137"/>
      <c r="N32" s="119" t="s">
        <v>46</v>
      </c>
      <c r="O32" s="137"/>
      <c r="P32" s="118" t="s">
        <v>47</v>
      </c>
      <c r="Q32" s="118"/>
    </row>
    <row r="33" spans="6:19" ht="17.25" customHeight="1" x14ac:dyDescent="0.25">
      <c r="F33" s="1" t="s">
        <v>149</v>
      </c>
      <c r="J33" s="4"/>
      <c r="K33" s="4"/>
      <c r="N33" s="4"/>
      <c r="O33" s="4"/>
      <c r="P33" s="4"/>
      <c r="Q33" s="4"/>
      <c r="R33" s="4"/>
      <c r="S33" s="4"/>
    </row>
    <row r="34" spans="6:19" ht="17.25" customHeight="1" x14ac:dyDescent="0.25">
      <c r="F34" s="1" t="s">
        <v>150</v>
      </c>
    </row>
  </sheetData>
  <sheetProtection algorithmName="SHA-512" hashValue="yxd6bVTnbm9R8BjroG59v3ytFovIGEaC4b5qJg0EhBdese3rUT2Dssgw0zRs/clk5XiEKeK7RZJwKAXIWXoy3g==" saltValue="wgup1unzza3A6f3YTi24kw==" spinCount="100000" sheet="1" formatCells="0" formatColumns="0" formatRows="0" autoFilter="0" pivotTables="0"/>
  <protectedRanges>
    <protectedRange sqref="Z3:AO13" name="範圍3"/>
    <protectedRange sqref="AK21 D4:D9 K4:L6 E14:AH15" name="範圍1"/>
    <protectedRange sqref="H11:L12" name="範圍2"/>
  </protectedRanges>
  <customSheetViews>
    <customSheetView guid="{3242F372-74DC-44C7-A174-A49010CD9191}" scale="75" showGridLines="0">
      <selection activeCell="O35" sqref="O35"/>
      <pageMargins left="0.75" right="0.75" top="1" bottom="1" header="0.5" footer="0.5"/>
      <pageSetup paperSize="9" orientation="portrait" horizontalDpi="1200" verticalDpi="1200" r:id="rId1"/>
      <headerFooter alignWithMargins="0"/>
    </customSheetView>
  </customSheetViews>
  <mergeCells count="226">
    <mergeCell ref="AG18:AH18"/>
    <mergeCell ref="O14:P14"/>
    <mergeCell ref="Q14:R14"/>
    <mergeCell ref="S14:T14"/>
    <mergeCell ref="AA14:AB14"/>
    <mergeCell ref="AC14:AD14"/>
    <mergeCell ref="N4:Q4"/>
    <mergeCell ref="T4:W4"/>
    <mergeCell ref="T6:W6"/>
    <mergeCell ref="N6:Q6"/>
    <mergeCell ref="N8:Q8"/>
    <mergeCell ref="R4:S4"/>
    <mergeCell ref="Y15:Z15"/>
    <mergeCell ref="AE14:AF14"/>
    <mergeCell ref="AG14:AH14"/>
    <mergeCell ref="AA15:AB15"/>
    <mergeCell ref="AC15:AD15"/>
    <mergeCell ref="AE15:AF15"/>
    <mergeCell ref="AG15:AH15"/>
    <mergeCell ref="H20:K20"/>
    <mergeCell ref="Y28:Z28"/>
    <mergeCell ref="AA28:AB28"/>
    <mergeCell ref="X4:Y4"/>
    <mergeCell ref="N5:Q5"/>
    <mergeCell ref="T5:W5"/>
    <mergeCell ref="T7:W7"/>
    <mergeCell ref="N7:Q7"/>
    <mergeCell ref="N9:Q9"/>
    <mergeCell ref="AB6:AE6"/>
    <mergeCell ref="M18:N18"/>
    <mergeCell ref="O18:P18"/>
    <mergeCell ref="Q18:R18"/>
    <mergeCell ref="S18:T18"/>
    <mergeCell ref="U18:V18"/>
    <mergeCell ref="Y18:Z18"/>
    <mergeCell ref="AA18:AB18"/>
    <mergeCell ref="AC18:AD18"/>
    <mergeCell ref="AE18:AF18"/>
    <mergeCell ref="V22:W22"/>
    <mergeCell ref="V26:W26"/>
    <mergeCell ref="X6:Y6"/>
    <mergeCell ref="R6:S6"/>
    <mergeCell ref="X5:Y5"/>
    <mergeCell ref="H22:K22"/>
    <mergeCell ref="P32:Q32"/>
    <mergeCell ref="R8:S8"/>
    <mergeCell ref="K7:L7"/>
    <mergeCell ref="H27:K27"/>
    <mergeCell ref="H21:K21"/>
    <mergeCell ref="F30:G30"/>
    <mergeCell ref="F31:G31"/>
    <mergeCell ref="F32:G32"/>
    <mergeCell ref="R22:S22"/>
    <mergeCell ref="N30:O30"/>
    <mergeCell ref="P31:Q31"/>
    <mergeCell ref="P30:Q30"/>
    <mergeCell ref="E18:F18"/>
    <mergeCell ref="G18:H18"/>
    <mergeCell ref="K18:L18"/>
    <mergeCell ref="N26:O26"/>
    <mergeCell ref="P20:Q20"/>
    <mergeCell ref="R20:S20"/>
    <mergeCell ref="K14:L14"/>
    <mergeCell ref="C20:E20"/>
    <mergeCell ref="M14:N14"/>
    <mergeCell ref="M15:N15"/>
    <mergeCell ref="N20:O20"/>
    <mergeCell ref="AH20:AI20"/>
    <mergeCell ref="T20:U20"/>
    <mergeCell ref="W18:X18"/>
    <mergeCell ref="C26:E26"/>
    <mergeCell ref="C21:E21"/>
    <mergeCell ref="L20:M20"/>
    <mergeCell ref="K15:L15"/>
    <mergeCell ref="H26:K26"/>
    <mergeCell ref="C27:E27"/>
    <mergeCell ref="F20:G20"/>
    <mergeCell ref="F21:G21"/>
    <mergeCell ref="F22:G22"/>
    <mergeCell ref="F26:G26"/>
    <mergeCell ref="F27:G27"/>
    <mergeCell ref="L21:M21"/>
    <mergeCell ref="L22:M22"/>
    <mergeCell ref="L26:M26"/>
    <mergeCell ref="L27:M27"/>
    <mergeCell ref="B15:D15"/>
    <mergeCell ref="W23:X23"/>
    <mergeCell ref="C25:E25"/>
    <mergeCell ref="F25:G25"/>
    <mergeCell ref="L25:M25"/>
    <mergeCell ref="C22:E22"/>
    <mergeCell ref="Z20:AA20"/>
    <mergeCell ref="AB20:AC20"/>
    <mergeCell ref="AD20:AE20"/>
    <mergeCell ref="AF20:AG20"/>
    <mergeCell ref="AB21:AC21"/>
    <mergeCell ref="AF21:AG21"/>
    <mergeCell ref="AF22:AG22"/>
    <mergeCell ref="Y23:Z23"/>
    <mergeCell ref="AB22:AC22"/>
    <mergeCell ref="Z21:AA21"/>
    <mergeCell ref="Z22:AA22"/>
    <mergeCell ref="AB25:AC25"/>
    <mergeCell ref="AF25:AG25"/>
    <mergeCell ref="T25:U25"/>
    <mergeCell ref="AD21:AE21"/>
    <mergeCell ref="AD22:AE22"/>
    <mergeCell ref="Z25:AA25"/>
    <mergeCell ref="AH21:AI21"/>
    <mergeCell ref="AH22:AI22"/>
    <mergeCell ref="AH26:AI26"/>
    <mergeCell ref="AF26:AG26"/>
    <mergeCell ref="AH25:AI25"/>
    <mergeCell ref="E23:F23"/>
    <mergeCell ref="S23:T23"/>
    <mergeCell ref="V25:W25"/>
    <mergeCell ref="AA23:AB23"/>
    <mergeCell ref="AC23:AD23"/>
    <mergeCell ref="H25:K25"/>
    <mergeCell ref="AE23:AF23"/>
    <mergeCell ref="AG23:AH23"/>
    <mergeCell ref="AH27:AI27"/>
    <mergeCell ref="AD27:AE27"/>
    <mergeCell ref="AF27:AG27"/>
    <mergeCell ref="Z27:AA27"/>
    <mergeCell ref="AD26:AE26"/>
    <mergeCell ref="P26:Q26"/>
    <mergeCell ref="R26:S26"/>
    <mergeCell ref="T26:U26"/>
    <mergeCell ref="X25:Y25"/>
    <mergeCell ref="AB26:AC26"/>
    <mergeCell ref="AB27:AC27"/>
    <mergeCell ref="AD25:AE25"/>
    <mergeCell ref="Z26:AA26"/>
    <mergeCell ref="P25:Q25"/>
    <mergeCell ref="R25:S25"/>
    <mergeCell ref="P27:Q27"/>
    <mergeCell ref="C1:AC1"/>
    <mergeCell ref="R7:S7"/>
    <mergeCell ref="R9:S9"/>
    <mergeCell ref="R5:S5"/>
    <mergeCell ref="X7:Y7"/>
    <mergeCell ref="K6:L6"/>
    <mergeCell ref="X11:Y11"/>
    <mergeCell ref="T11:U11"/>
    <mergeCell ref="V11:W11"/>
    <mergeCell ref="R11:S11"/>
    <mergeCell ref="X10:Y10"/>
    <mergeCell ref="V10:W10"/>
    <mergeCell ref="N10:Q10"/>
    <mergeCell ref="R10:S10"/>
    <mergeCell ref="T9:W9"/>
    <mergeCell ref="X9:Y9"/>
    <mergeCell ref="T10:U10"/>
    <mergeCell ref="B14:D14"/>
    <mergeCell ref="E4:H4"/>
    <mergeCell ref="E5:H5"/>
    <mergeCell ref="E6:H6"/>
    <mergeCell ref="E7:H7"/>
    <mergeCell ref="E15:F15"/>
    <mergeCell ref="E14:F14"/>
    <mergeCell ref="G14:H14"/>
    <mergeCell ref="G15:H15"/>
    <mergeCell ref="F10:L10"/>
    <mergeCell ref="F11:G11"/>
    <mergeCell ref="K4:L4"/>
    <mergeCell ref="K5:L5"/>
    <mergeCell ref="I14:J14"/>
    <mergeCell ref="L32:M32"/>
    <mergeCell ref="N31:O31"/>
    <mergeCell ref="N32:O32"/>
    <mergeCell ref="H30:K30"/>
    <mergeCell ref="H31:K31"/>
    <mergeCell ref="H32:K32"/>
    <mergeCell ref="N11:Q11"/>
    <mergeCell ref="H12:L12"/>
    <mergeCell ref="H11:L11"/>
    <mergeCell ref="Q23:R23"/>
    <mergeCell ref="G23:H23"/>
    <mergeCell ref="K23:L23"/>
    <mergeCell ref="M23:N23"/>
    <mergeCell ref="O23:P23"/>
    <mergeCell ref="I15:J15"/>
    <mergeCell ref="F12:G12"/>
    <mergeCell ref="N22:O22"/>
    <mergeCell ref="N21:O21"/>
    <mergeCell ref="N25:O25"/>
    <mergeCell ref="R21:S21"/>
    <mergeCell ref="O15:P15"/>
    <mergeCell ref="Q15:R15"/>
    <mergeCell ref="S15:T15"/>
    <mergeCell ref="S28:T28"/>
    <mergeCell ref="L30:M30"/>
    <mergeCell ref="L31:M31"/>
    <mergeCell ref="U14:V14"/>
    <mergeCell ref="W14:X14"/>
    <mergeCell ref="U15:V15"/>
    <mergeCell ref="W15:X15"/>
    <mergeCell ref="W28:X28"/>
    <mergeCell ref="T22:U22"/>
    <mergeCell ref="V21:W21"/>
    <mergeCell ref="N27:O27"/>
    <mergeCell ref="P22:Q22"/>
    <mergeCell ref="P21:Q21"/>
    <mergeCell ref="T21:U21"/>
    <mergeCell ref="X20:Y20"/>
    <mergeCell ref="X21:Y21"/>
    <mergeCell ref="X22:Y22"/>
    <mergeCell ref="V20:W20"/>
    <mergeCell ref="U23:V23"/>
    <mergeCell ref="R27:S27"/>
    <mergeCell ref="T27:U27"/>
    <mergeCell ref="V27:W27"/>
    <mergeCell ref="X26:Y26"/>
    <mergeCell ref="X27:Y27"/>
    <mergeCell ref="Y14:Z14"/>
    <mergeCell ref="AC28:AD28"/>
    <mergeCell ref="AE28:AF28"/>
    <mergeCell ref="U28:V28"/>
    <mergeCell ref="AG28:AH28"/>
    <mergeCell ref="E28:F28"/>
    <mergeCell ref="G28:H28"/>
    <mergeCell ref="K28:L28"/>
    <mergeCell ref="M28:N28"/>
    <mergeCell ref="O28:P28"/>
    <mergeCell ref="Q28:R28"/>
  </mergeCells>
  <phoneticPr fontId="2" type="noConversion"/>
  <pageMargins left="0.75" right="0.75" top="1" bottom="1" header="0.5" footer="0.5"/>
  <pageSetup paperSize="9" orientation="portrait" horizontalDpi="1200" verticalDpi="12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Regular Overlap</vt:lpstr>
      <vt:lpstr>Irregular Overlap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Sales</cp:lastModifiedBy>
  <cp:lastPrinted>2013-04-25T00:24:11Z</cp:lastPrinted>
  <dcterms:created xsi:type="dcterms:W3CDTF">2011-04-28T11:12:58Z</dcterms:created>
  <dcterms:modified xsi:type="dcterms:W3CDTF">2023-08-11T10:07:16Z</dcterms:modified>
</cp:coreProperties>
</file>